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pothier\Desktop\EnAttente Acceptation CCSD\"/>
    </mc:Choice>
  </mc:AlternateContent>
  <bookViews>
    <workbookView xWindow="0" yWindow="0" windowWidth="20490" windowHeight="8445" tabRatio="500" activeTab="1"/>
  </bookViews>
  <sheets>
    <sheet name="Fluid Compsotions" sheetId="1" r:id="rId1"/>
    <sheet name="Dissolved Volatiles" sheetId="6" r:id="rId2"/>
    <sheet name="H2O fluid" sheetId="2" r:id="rId3"/>
    <sheet name="CO2 fluid" sheetId="3" r:id="rId4"/>
    <sheet name="XH2O fluid" sheetId="4" r:id="rId5"/>
    <sheet name="XCO2 fluid" sheetId="5" r:id="rId6"/>
    <sheet name="Dissolved H2O Mass Balance" sheetId="7" r:id="rId7"/>
    <sheet name="Dissolved H2O By Difference" sheetId="8" r:id="rId8"/>
  </sheets>
  <calcPr calcId="15251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6" l="1"/>
  <c r="H29" i="6"/>
  <c r="I29" i="6"/>
  <c r="K29" i="6"/>
  <c r="H3" i="6"/>
  <c r="I3" i="6"/>
  <c r="H5" i="6"/>
  <c r="I5" i="6"/>
  <c r="H6" i="6"/>
  <c r="I6" i="6"/>
  <c r="H9" i="6"/>
  <c r="I9" i="6"/>
  <c r="H10" i="6"/>
  <c r="I10" i="6"/>
  <c r="H11" i="6"/>
  <c r="I11" i="6"/>
  <c r="H12" i="6"/>
  <c r="I12" i="6"/>
  <c r="H13" i="6"/>
  <c r="I13" i="6"/>
  <c r="H14" i="6"/>
  <c r="I14" i="6"/>
  <c r="H20" i="6"/>
  <c r="I20" i="6"/>
  <c r="H22" i="6"/>
  <c r="I22" i="6"/>
  <c r="H23" i="6"/>
  <c r="I23" i="6"/>
  <c r="H24" i="6"/>
  <c r="I24" i="6"/>
  <c r="H25" i="6"/>
  <c r="I25" i="6"/>
  <c r="H26" i="6"/>
  <c r="I26" i="6"/>
  <c r="H27" i="6"/>
  <c r="I27" i="6"/>
  <c r="H28" i="6"/>
  <c r="I28" i="6"/>
  <c r="H30" i="6"/>
  <c r="I30" i="6"/>
  <c r="H31" i="6"/>
  <c r="I31" i="6"/>
  <c r="H32" i="6"/>
  <c r="I32" i="6"/>
  <c r="H37" i="6"/>
  <c r="I37" i="6"/>
  <c r="H38" i="6"/>
  <c r="I38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H48" i="6"/>
  <c r="I48" i="6"/>
  <c r="H49" i="6"/>
  <c r="I49" i="6"/>
  <c r="H50" i="6"/>
  <c r="I50" i="6"/>
  <c r="H51" i="6"/>
  <c r="I51" i="6"/>
  <c r="H52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H61" i="6"/>
  <c r="I61" i="6"/>
  <c r="H62" i="6"/>
  <c r="I62" i="6"/>
  <c r="H63" i="6"/>
  <c r="I63" i="6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K63" i="1"/>
  <c r="M63" i="1"/>
  <c r="C38" i="6"/>
  <c r="K38" i="6"/>
  <c r="N38" i="6"/>
  <c r="C39" i="6"/>
  <c r="K39" i="6"/>
  <c r="N39" i="6"/>
  <c r="C40" i="6"/>
  <c r="K40" i="6"/>
  <c r="N40" i="6"/>
  <c r="C41" i="6"/>
  <c r="K41" i="6"/>
  <c r="N41" i="6"/>
  <c r="C42" i="6"/>
  <c r="K42" i="6"/>
  <c r="N42" i="6"/>
  <c r="C43" i="6"/>
  <c r="K43" i="6"/>
  <c r="N43" i="6"/>
  <c r="C44" i="6"/>
  <c r="K44" i="6"/>
  <c r="N44" i="6"/>
  <c r="C45" i="6"/>
  <c r="K45" i="6"/>
  <c r="N45" i="6"/>
  <c r="C46" i="6"/>
  <c r="K46" i="6"/>
  <c r="N46" i="6"/>
  <c r="C47" i="6"/>
  <c r="K47" i="6"/>
  <c r="N47" i="6"/>
  <c r="C48" i="6"/>
  <c r="K48" i="6"/>
  <c r="N48" i="6"/>
  <c r="C49" i="6"/>
  <c r="K49" i="6"/>
  <c r="N49" i="6"/>
  <c r="C50" i="6"/>
  <c r="K50" i="6"/>
  <c r="N50" i="6"/>
  <c r="C51" i="6"/>
  <c r="K51" i="6"/>
  <c r="N51" i="6"/>
  <c r="C52" i="6"/>
  <c r="K52" i="6"/>
  <c r="N52" i="6"/>
  <c r="C53" i="6"/>
  <c r="K53" i="6"/>
  <c r="N53" i="6"/>
  <c r="C54" i="6"/>
  <c r="K54" i="6"/>
  <c r="N54" i="6"/>
  <c r="C55" i="6"/>
  <c r="K55" i="6"/>
  <c r="N55" i="6"/>
  <c r="C56" i="6"/>
  <c r="K56" i="6"/>
  <c r="N56" i="6"/>
  <c r="C57" i="6"/>
  <c r="K57" i="6"/>
  <c r="N57" i="6"/>
  <c r="C58" i="6"/>
  <c r="K58" i="6"/>
  <c r="N58" i="6"/>
  <c r="C59" i="6"/>
  <c r="K59" i="6"/>
  <c r="N59" i="6"/>
  <c r="C60" i="6"/>
  <c r="K60" i="6"/>
  <c r="N60" i="6"/>
  <c r="C61" i="6"/>
  <c r="K61" i="6"/>
  <c r="N61" i="6"/>
  <c r="C62" i="6"/>
  <c r="K62" i="6"/>
  <c r="N62" i="6"/>
  <c r="C63" i="6"/>
  <c r="K63" i="6"/>
  <c r="N63" i="6"/>
  <c r="C37" i="6"/>
  <c r="K37" i="6"/>
  <c r="N37" i="6"/>
  <c r="C4" i="6"/>
  <c r="K4" i="6"/>
  <c r="N4" i="6"/>
  <c r="C5" i="6"/>
  <c r="K5" i="6"/>
  <c r="N5" i="6"/>
  <c r="C6" i="6"/>
  <c r="K6" i="6"/>
  <c r="N6" i="6"/>
  <c r="C7" i="6"/>
  <c r="K7" i="6"/>
  <c r="N7" i="6"/>
  <c r="C8" i="6"/>
  <c r="K8" i="6"/>
  <c r="N8" i="6"/>
  <c r="C9" i="6"/>
  <c r="K9" i="6"/>
  <c r="N9" i="6"/>
  <c r="C10" i="6"/>
  <c r="K10" i="6"/>
  <c r="N10" i="6"/>
  <c r="C11" i="6"/>
  <c r="K11" i="6"/>
  <c r="N11" i="6"/>
  <c r="C12" i="6"/>
  <c r="K12" i="6"/>
  <c r="N12" i="6"/>
  <c r="C13" i="6"/>
  <c r="K13" i="6"/>
  <c r="N13" i="6"/>
  <c r="C14" i="6"/>
  <c r="K14" i="6"/>
  <c r="N14" i="6"/>
  <c r="C15" i="6"/>
  <c r="K15" i="6"/>
  <c r="N15" i="6"/>
  <c r="C16" i="6"/>
  <c r="K16" i="6"/>
  <c r="N16" i="6"/>
  <c r="C17" i="6"/>
  <c r="K17" i="6"/>
  <c r="N17" i="6"/>
  <c r="C18" i="6"/>
  <c r="K18" i="6"/>
  <c r="N18" i="6"/>
  <c r="C19" i="6"/>
  <c r="K19" i="6"/>
  <c r="N19" i="6"/>
  <c r="C20" i="6"/>
  <c r="K20" i="6"/>
  <c r="N20" i="6"/>
  <c r="C21" i="6"/>
  <c r="K21" i="6"/>
  <c r="N21" i="6"/>
  <c r="C22" i="6"/>
  <c r="K22" i="6"/>
  <c r="N22" i="6"/>
  <c r="C23" i="6"/>
  <c r="K23" i="6"/>
  <c r="N23" i="6"/>
  <c r="C24" i="6"/>
  <c r="K24" i="6"/>
  <c r="N24" i="6"/>
  <c r="C25" i="6"/>
  <c r="K25" i="6"/>
  <c r="N25" i="6"/>
  <c r="C26" i="6"/>
  <c r="K26" i="6"/>
  <c r="N26" i="6"/>
  <c r="C27" i="6"/>
  <c r="K27" i="6"/>
  <c r="N27" i="6"/>
  <c r="C28" i="6"/>
  <c r="K28" i="6"/>
  <c r="N28" i="6"/>
  <c r="N29" i="6"/>
  <c r="C30" i="6"/>
  <c r="K30" i="6"/>
  <c r="N30" i="6"/>
  <c r="C31" i="6"/>
  <c r="K31" i="6"/>
  <c r="N31" i="6"/>
  <c r="C32" i="6"/>
  <c r="K32" i="6"/>
  <c r="N32" i="6"/>
  <c r="C3" i="6"/>
  <c r="K3" i="6"/>
  <c r="N3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4" i="6"/>
  <c r="U35" i="6"/>
  <c r="U36" i="6"/>
  <c r="U37" i="6"/>
  <c r="U38" i="6"/>
  <c r="U39" i="6"/>
  <c r="U40" i="6"/>
  <c r="U41" i="6"/>
  <c r="U42" i="6"/>
  <c r="U43" i="6"/>
  <c r="U44" i="6"/>
  <c r="U47" i="6"/>
  <c r="U48" i="6"/>
  <c r="U49" i="6"/>
  <c r="U50" i="6"/>
  <c r="U53" i="6"/>
  <c r="U54" i="6"/>
  <c r="U55" i="6"/>
  <c r="U58" i="6"/>
  <c r="U59" i="6"/>
  <c r="U60" i="6"/>
  <c r="U61" i="6"/>
  <c r="U3" i="6"/>
  <c r="E3" i="6"/>
  <c r="L3" i="6"/>
  <c r="E4" i="6"/>
  <c r="L4" i="6"/>
  <c r="E5" i="6"/>
  <c r="L5" i="6"/>
  <c r="E6" i="6"/>
  <c r="L6" i="6"/>
  <c r="E7" i="6"/>
  <c r="L7" i="6"/>
  <c r="E8" i="6"/>
  <c r="L8" i="6"/>
  <c r="E9" i="6"/>
  <c r="L9" i="6"/>
  <c r="E10" i="6"/>
  <c r="L10" i="6"/>
  <c r="E11" i="6"/>
  <c r="L11" i="6"/>
  <c r="E12" i="6"/>
  <c r="L12" i="6"/>
  <c r="E13" i="6"/>
  <c r="L13" i="6"/>
  <c r="E14" i="6"/>
  <c r="L14" i="6"/>
  <c r="E15" i="6"/>
  <c r="L15" i="6"/>
  <c r="E16" i="6"/>
  <c r="L16" i="6"/>
  <c r="E17" i="6"/>
  <c r="L17" i="6"/>
  <c r="E18" i="6"/>
  <c r="L18" i="6"/>
  <c r="E19" i="6"/>
  <c r="L19" i="6"/>
  <c r="E20" i="6"/>
  <c r="L20" i="6"/>
  <c r="E21" i="6"/>
  <c r="L21" i="6"/>
  <c r="E22" i="6"/>
  <c r="L22" i="6"/>
  <c r="E23" i="6"/>
  <c r="L23" i="6"/>
  <c r="E24" i="6"/>
  <c r="L24" i="6"/>
  <c r="E25" i="6"/>
  <c r="L25" i="6"/>
  <c r="E26" i="6"/>
  <c r="L26" i="6"/>
  <c r="E27" i="6"/>
  <c r="L27" i="6"/>
  <c r="E28" i="6"/>
  <c r="L28" i="6"/>
  <c r="E29" i="6"/>
  <c r="L29" i="6"/>
  <c r="E30" i="6"/>
  <c r="L30" i="6"/>
  <c r="E31" i="6"/>
  <c r="L31" i="6"/>
  <c r="E32" i="6"/>
  <c r="L32" i="6"/>
  <c r="E37" i="6"/>
  <c r="L37" i="6"/>
  <c r="E38" i="6"/>
  <c r="L38" i="6"/>
  <c r="E39" i="6"/>
  <c r="L39" i="6"/>
  <c r="E40" i="6"/>
  <c r="L40" i="6"/>
  <c r="E41" i="6"/>
  <c r="L41" i="6"/>
  <c r="E42" i="6"/>
  <c r="L42" i="6"/>
  <c r="E43" i="6"/>
  <c r="L43" i="6"/>
  <c r="E44" i="6"/>
  <c r="L44" i="6"/>
  <c r="E45" i="6"/>
  <c r="L45" i="6"/>
  <c r="E46" i="6"/>
  <c r="L46" i="6"/>
  <c r="E47" i="6"/>
  <c r="L47" i="6"/>
  <c r="E48" i="6"/>
  <c r="L48" i="6"/>
  <c r="E49" i="6"/>
  <c r="L49" i="6"/>
  <c r="E50" i="6"/>
  <c r="L50" i="6"/>
  <c r="E51" i="6"/>
  <c r="L51" i="6"/>
  <c r="E52" i="6"/>
  <c r="L52" i="6"/>
  <c r="E53" i="6"/>
  <c r="L53" i="6"/>
  <c r="E54" i="6"/>
  <c r="L54" i="6"/>
  <c r="E55" i="6"/>
  <c r="L55" i="6"/>
  <c r="E56" i="6"/>
  <c r="L56" i="6"/>
  <c r="E57" i="6"/>
  <c r="L57" i="6"/>
  <c r="E58" i="6"/>
  <c r="L58" i="6"/>
  <c r="E59" i="6"/>
  <c r="L59" i="6"/>
  <c r="E60" i="6"/>
  <c r="L60" i="6"/>
  <c r="E61" i="6"/>
  <c r="L61" i="6"/>
  <c r="E62" i="6"/>
  <c r="L62" i="6"/>
  <c r="E63" i="6"/>
  <c r="L63" i="6"/>
  <c r="B92" i="1"/>
  <c r="B91" i="1"/>
  <c r="B90" i="1"/>
  <c r="B89" i="1"/>
  <c r="B88" i="1"/>
  <c r="B87" i="1"/>
  <c r="B86" i="1"/>
  <c r="B85" i="1"/>
  <c r="B84" i="1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3" i="6"/>
  <c r="E36" i="6"/>
  <c r="E35" i="6"/>
  <c r="E34" i="6"/>
  <c r="E33" i="6"/>
  <c r="C36" i="6"/>
  <c r="C35" i="6"/>
  <c r="C34" i="6"/>
  <c r="C33" i="6"/>
  <c r="K31" i="1"/>
  <c r="R3" i="1"/>
  <c r="S3" i="1"/>
  <c r="R5" i="1"/>
  <c r="S5" i="1"/>
  <c r="R6" i="1"/>
  <c r="S6" i="1"/>
  <c r="B78" i="1"/>
  <c r="B79" i="1"/>
  <c r="B80" i="1"/>
  <c r="B81" i="1"/>
  <c r="B82" i="1"/>
  <c r="B83" i="1"/>
  <c r="B77" i="1"/>
  <c r="T4" i="1"/>
  <c r="U4" i="1"/>
  <c r="V4" i="1"/>
  <c r="W4" i="1"/>
  <c r="T5" i="1"/>
  <c r="U5" i="1"/>
  <c r="V5" i="1"/>
  <c r="W5" i="1"/>
  <c r="T6" i="1"/>
  <c r="U6" i="1"/>
  <c r="V6" i="1"/>
  <c r="W6" i="1"/>
  <c r="T7" i="1"/>
  <c r="U7" i="1"/>
  <c r="V7" i="1"/>
  <c r="W7" i="1"/>
  <c r="T8" i="1"/>
  <c r="U8" i="1"/>
  <c r="V8" i="1"/>
  <c r="W8" i="1"/>
  <c r="R9" i="1"/>
  <c r="T9" i="1"/>
  <c r="S9" i="1"/>
  <c r="U9" i="1"/>
  <c r="V9" i="1"/>
  <c r="W9" i="1"/>
  <c r="R10" i="1"/>
  <c r="T10" i="1"/>
  <c r="S10" i="1"/>
  <c r="U10" i="1"/>
  <c r="V10" i="1"/>
  <c r="W10" i="1"/>
  <c r="R11" i="1"/>
  <c r="T11" i="1"/>
  <c r="S11" i="1"/>
  <c r="U11" i="1"/>
  <c r="V11" i="1"/>
  <c r="W11" i="1"/>
  <c r="R12" i="1"/>
  <c r="T12" i="1"/>
  <c r="S12" i="1"/>
  <c r="U12" i="1"/>
  <c r="V12" i="1"/>
  <c r="W12" i="1"/>
  <c r="R13" i="1"/>
  <c r="T13" i="1"/>
  <c r="S13" i="1"/>
  <c r="U13" i="1"/>
  <c r="V13" i="1"/>
  <c r="W13" i="1"/>
  <c r="R14" i="1"/>
  <c r="T14" i="1"/>
  <c r="S14" i="1"/>
  <c r="U14" i="1"/>
  <c r="V14" i="1"/>
  <c r="W14" i="1"/>
  <c r="T15" i="1"/>
  <c r="U15" i="1"/>
  <c r="V15" i="1"/>
  <c r="W15" i="1"/>
  <c r="T16" i="1"/>
  <c r="U16" i="1"/>
  <c r="V16" i="1"/>
  <c r="W16" i="1"/>
  <c r="T17" i="1"/>
  <c r="U17" i="1"/>
  <c r="V17" i="1"/>
  <c r="W17" i="1"/>
  <c r="T18" i="1"/>
  <c r="U18" i="1"/>
  <c r="V18" i="1"/>
  <c r="W18" i="1"/>
  <c r="T19" i="1"/>
  <c r="U19" i="1"/>
  <c r="V19" i="1"/>
  <c r="W19" i="1"/>
  <c r="R20" i="1"/>
  <c r="T20" i="1"/>
  <c r="S20" i="1"/>
  <c r="U20" i="1"/>
  <c r="V20" i="1"/>
  <c r="W20" i="1"/>
  <c r="T21" i="1"/>
  <c r="U21" i="1"/>
  <c r="V21" i="1"/>
  <c r="W21" i="1"/>
  <c r="R22" i="1"/>
  <c r="T22" i="1"/>
  <c r="S22" i="1"/>
  <c r="U22" i="1"/>
  <c r="V22" i="1"/>
  <c r="W22" i="1"/>
  <c r="R23" i="1"/>
  <c r="T23" i="1"/>
  <c r="S23" i="1"/>
  <c r="U23" i="1"/>
  <c r="V23" i="1"/>
  <c r="W23" i="1"/>
  <c r="R24" i="1"/>
  <c r="T24" i="1"/>
  <c r="S24" i="1"/>
  <c r="U24" i="1"/>
  <c r="V24" i="1"/>
  <c r="W24" i="1"/>
  <c r="R25" i="1"/>
  <c r="T25" i="1"/>
  <c r="S25" i="1"/>
  <c r="U25" i="1"/>
  <c r="V25" i="1"/>
  <c r="W25" i="1"/>
  <c r="R26" i="1"/>
  <c r="T26" i="1"/>
  <c r="S26" i="1"/>
  <c r="U26" i="1"/>
  <c r="V26" i="1"/>
  <c r="W26" i="1"/>
  <c r="R27" i="1"/>
  <c r="T27" i="1"/>
  <c r="S27" i="1"/>
  <c r="U27" i="1"/>
  <c r="V27" i="1"/>
  <c r="W27" i="1"/>
  <c r="R28" i="1"/>
  <c r="T28" i="1"/>
  <c r="S28" i="1"/>
  <c r="U28" i="1"/>
  <c r="V28" i="1"/>
  <c r="W28" i="1"/>
  <c r="R29" i="1"/>
  <c r="T29" i="1"/>
  <c r="S29" i="1"/>
  <c r="U29" i="1"/>
  <c r="V29" i="1"/>
  <c r="W29" i="1"/>
  <c r="R30" i="1"/>
  <c r="T30" i="1"/>
  <c r="S30" i="1"/>
  <c r="U30" i="1"/>
  <c r="V30" i="1"/>
  <c r="W30" i="1"/>
  <c r="R31" i="1"/>
  <c r="T31" i="1"/>
  <c r="S31" i="1"/>
  <c r="U31" i="1"/>
  <c r="V31" i="1"/>
  <c r="W31" i="1"/>
  <c r="R32" i="1"/>
  <c r="T32" i="1"/>
  <c r="S32" i="1"/>
  <c r="U32" i="1"/>
  <c r="V32" i="1"/>
  <c r="W32" i="1"/>
  <c r="R37" i="1"/>
  <c r="T37" i="1"/>
  <c r="S37" i="1"/>
  <c r="U37" i="1"/>
  <c r="V37" i="1"/>
  <c r="W37" i="1"/>
  <c r="R38" i="1"/>
  <c r="T38" i="1"/>
  <c r="S38" i="1"/>
  <c r="U38" i="1"/>
  <c r="V38" i="1"/>
  <c r="W38" i="1"/>
  <c r="R39" i="1"/>
  <c r="T39" i="1"/>
  <c r="S39" i="1"/>
  <c r="U39" i="1"/>
  <c r="V39" i="1"/>
  <c r="W39" i="1"/>
  <c r="R40" i="1"/>
  <c r="T40" i="1"/>
  <c r="S40" i="1"/>
  <c r="U40" i="1"/>
  <c r="V40" i="1"/>
  <c r="W40" i="1"/>
  <c r="R41" i="1"/>
  <c r="T41" i="1"/>
  <c r="S41" i="1"/>
  <c r="U41" i="1"/>
  <c r="V41" i="1"/>
  <c r="W41" i="1"/>
  <c r="R42" i="1"/>
  <c r="T42" i="1"/>
  <c r="S42" i="1"/>
  <c r="U42" i="1"/>
  <c r="V42" i="1"/>
  <c r="W42" i="1"/>
  <c r="R43" i="1"/>
  <c r="T43" i="1"/>
  <c r="S43" i="1"/>
  <c r="U43" i="1"/>
  <c r="V43" i="1"/>
  <c r="W43" i="1"/>
  <c r="R44" i="1"/>
  <c r="T44" i="1"/>
  <c r="S44" i="1"/>
  <c r="U44" i="1"/>
  <c r="V44" i="1"/>
  <c r="W44" i="1"/>
  <c r="R45" i="1"/>
  <c r="T45" i="1"/>
  <c r="U45" i="1"/>
  <c r="V45" i="1"/>
  <c r="W45" i="1"/>
  <c r="T46" i="1"/>
  <c r="U46" i="1"/>
  <c r="V46" i="1"/>
  <c r="W46" i="1"/>
  <c r="T47" i="1"/>
  <c r="U47" i="1"/>
  <c r="V47" i="1"/>
  <c r="W47" i="1"/>
  <c r="R48" i="1"/>
  <c r="T48" i="1"/>
  <c r="S48" i="1"/>
  <c r="U48" i="1"/>
  <c r="V48" i="1"/>
  <c r="W48" i="1"/>
  <c r="R49" i="1"/>
  <c r="T49" i="1"/>
  <c r="S49" i="1"/>
  <c r="U49" i="1"/>
  <c r="V49" i="1"/>
  <c r="W49" i="1"/>
  <c r="R50" i="1"/>
  <c r="T50" i="1"/>
  <c r="S50" i="1"/>
  <c r="U50" i="1"/>
  <c r="V50" i="1"/>
  <c r="W50" i="1"/>
  <c r="R51" i="1"/>
  <c r="T51" i="1"/>
  <c r="S51" i="1"/>
  <c r="U51" i="1"/>
  <c r="V51" i="1"/>
  <c r="W51" i="1"/>
  <c r="R52" i="1"/>
  <c r="T52" i="1"/>
  <c r="S52" i="1"/>
  <c r="U52" i="1"/>
  <c r="V52" i="1"/>
  <c r="W52" i="1"/>
  <c r="R53" i="1"/>
  <c r="T53" i="1"/>
  <c r="S53" i="1"/>
  <c r="U53" i="1"/>
  <c r="V53" i="1"/>
  <c r="W53" i="1"/>
  <c r="R54" i="1"/>
  <c r="T54" i="1"/>
  <c r="S54" i="1"/>
  <c r="U54" i="1"/>
  <c r="V54" i="1"/>
  <c r="W54" i="1"/>
  <c r="R55" i="1"/>
  <c r="T55" i="1"/>
  <c r="S55" i="1"/>
  <c r="U55" i="1"/>
  <c r="V55" i="1"/>
  <c r="W55" i="1"/>
  <c r="R56" i="1"/>
  <c r="T56" i="1"/>
  <c r="S56" i="1"/>
  <c r="U56" i="1"/>
  <c r="V56" i="1"/>
  <c r="W56" i="1"/>
  <c r="R57" i="1"/>
  <c r="T57" i="1"/>
  <c r="S57" i="1"/>
  <c r="U57" i="1"/>
  <c r="V57" i="1"/>
  <c r="W57" i="1"/>
  <c r="R58" i="1"/>
  <c r="T58" i="1"/>
  <c r="S58" i="1"/>
  <c r="U58" i="1"/>
  <c r="V58" i="1"/>
  <c r="W58" i="1"/>
  <c r="R59" i="1"/>
  <c r="T59" i="1"/>
  <c r="S59" i="1"/>
  <c r="U59" i="1"/>
  <c r="V59" i="1"/>
  <c r="W59" i="1"/>
  <c r="T60" i="1"/>
  <c r="U60" i="1"/>
  <c r="V60" i="1"/>
  <c r="W60" i="1"/>
  <c r="R61" i="1"/>
  <c r="T61" i="1"/>
  <c r="S61" i="1"/>
  <c r="U61" i="1"/>
  <c r="V61" i="1"/>
  <c r="W61" i="1"/>
  <c r="R62" i="1"/>
  <c r="T62" i="1"/>
  <c r="S62" i="1"/>
  <c r="U62" i="1"/>
  <c r="V62" i="1"/>
  <c r="W62" i="1"/>
  <c r="R63" i="1"/>
  <c r="T63" i="1"/>
  <c r="S63" i="1"/>
  <c r="U63" i="1"/>
  <c r="V63" i="1"/>
  <c r="W63" i="1"/>
  <c r="U3" i="1"/>
  <c r="T3" i="1"/>
  <c r="W3" i="1"/>
  <c r="V3" i="1"/>
  <c r="E23" i="1"/>
  <c r="L23" i="1"/>
  <c r="N23" i="1"/>
  <c r="K23" i="1"/>
  <c r="M23" i="1"/>
  <c r="P23" i="1"/>
  <c r="O23" i="1"/>
  <c r="E21" i="1"/>
  <c r="L21" i="1"/>
  <c r="N21" i="1"/>
  <c r="K21" i="1"/>
  <c r="M21" i="1"/>
  <c r="P21" i="1"/>
  <c r="O21" i="1"/>
  <c r="E14" i="1"/>
  <c r="L14" i="1"/>
  <c r="N14" i="1"/>
  <c r="M14" i="1"/>
  <c r="P14" i="1"/>
  <c r="O14" i="1"/>
  <c r="E18" i="1"/>
  <c r="L18" i="1"/>
  <c r="N18" i="1"/>
  <c r="K18" i="1"/>
  <c r="M18" i="1"/>
  <c r="P18" i="1"/>
  <c r="O18" i="1"/>
  <c r="E13" i="1"/>
  <c r="L13" i="1"/>
  <c r="N13" i="1"/>
  <c r="K13" i="1"/>
  <c r="M13" i="1"/>
  <c r="P13" i="1"/>
  <c r="O13" i="1"/>
  <c r="K27" i="1"/>
  <c r="M31" i="1"/>
  <c r="E31" i="1"/>
  <c r="L31" i="1"/>
  <c r="N31" i="1"/>
  <c r="O31" i="1"/>
  <c r="P31" i="1"/>
  <c r="E6" i="1"/>
  <c r="E3" i="1"/>
  <c r="E4" i="1"/>
  <c r="E7" i="1"/>
  <c r="E8" i="1"/>
  <c r="E9" i="1"/>
  <c r="E10" i="1"/>
  <c r="E11" i="1"/>
  <c r="E12" i="1"/>
  <c r="E15" i="1"/>
  <c r="E16" i="1"/>
  <c r="E17" i="1"/>
  <c r="E19" i="1"/>
  <c r="E20" i="1"/>
  <c r="E22" i="1"/>
  <c r="E24" i="1"/>
  <c r="E25" i="1"/>
  <c r="E26" i="1"/>
  <c r="E27" i="1"/>
  <c r="E28" i="1"/>
  <c r="E29" i="1"/>
  <c r="E30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2" i="1"/>
  <c r="E51" i="1"/>
  <c r="E53" i="1"/>
  <c r="E54" i="1"/>
  <c r="E55" i="1"/>
  <c r="E56" i="1"/>
  <c r="E57" i="1"/>
  <c r="E58" i="1"/>
  <c r="E59" i="1"/>
  <c r="E60" i="1"/>
  <c r="E61" i="1"/>
  <c r="E62" i="1"/>
  <c r="E63" i="1"/>
  <c r="E5" i="1"/>
  <c r="L6" i="1"/>
  <c r="N6" i="1"/>
  <c r="K6" i="1"/>
  <c r="M6" i="1"/>
  <c r="O6" i="1"/>
  <c r="P6" i="1"/>
  <c r="L3" i="1"/>
  <c r="N3" i="1"/>
  <c r="K3" i="1"/>
  <c r="M3" i="1"/>
  <c r="O3" i="1"/>
  <c r="P3" i="1"/>
  <c r="L4" i="1"/>
  <c r="N4" i="1"/>
  <c r="K4" i="1"/>
  <c r="M4" i="1"/>
  <c r="O4" i="1"/>
  <c r="P4" i="1"/>
  <c r="L7" i="1"/>
  <c r="N7" i="1"/>
  <c r="K7" i="1"/>
  <c r="M7" i="1"/>
  <c r="O7" i="1"/>
  <c r="P7" i="1"/>
  <c r="M9" i="1"/>
  <c r="L10" i="1"/>
  <c r="N10" i="1"/>
  <c r="K10" i="1"/>
  <c r="M10" i="1"/>
  <c r="O10" i="1"/>
  <c r="P10" i="1"/>
  <c r="L11" i="1"/>
  <c r="N11" i="1"/>
  <c r="K11" i="1"/>
  <c r="M11" i="1"/>
  <c r="O11" i="1"/>
  <c r="P11" i="1"/>
  <c r="L12" i="1"/>
  <c r="N12" i="1"/>
  <c r="K12" i="1"/>
  <c r="M12" i="1"/>
  <c r="O12" i="1"/>
  <c r="P12" i="1"/>
  <c r="L15" i="1"/>
  <c r="N15" i="1"/>
  <c r="K15" i="1"/>
  <c r="M15" i="1"/>
  <c r="O15" i="1"/>
  <c r="P15" i="1"/>
  <c r="L16" i="1"/>
  <c r="N16" i="1"/>
  <c r="K16" i="1"/>
  <c r="M16" i="1"/>
  <c r="O16" i="1"/>
  <c r="P16" i="1"/>
  <c r="L17" i="1"/>
  <c r="N17" i="1"/>
  <c r="K17" i="1"/>
  <c r="M17" i="1"/>
  <c r="O17" i="1"/>
  <c r="P17" i="1"/>
  <c r="L19" i="1"/>
  <c r="N19" i="1"/>
  <c r="M19" i="1"/>
  <c r="L20" i="1"/>
  <c r="N20" i="1"/>
  <c r="K20" i="1"/>
  <c r="M20" i="1"/>
  <c r="O20" i="1"/>
  <c r="P20" i="1"/>
  <c r="L24" i="1"/>
  <c r="N24" i="1"/>
  <c r="K24" i="1"/>
  <c r="M24" i="1"/>
  <c r="O24" i="1"/>
  <c r="P24" i="1"/>
  <c r="L25" i="1"/>
  <c r="N25" i="1"/>
  <c r="K25" i="1"/>
  <c r="M25" i="1"/>
  <c r="O25" i="1"/>
  <c r="P25" i="1"/>
  <c r="L26" i="1"/>
  <c r="N26" i="1"/>
  <c r="K26" i="1"/>
  <c r="M26" i="1"/>
  <c r="O26" i="1"/>
  <c r="P26" i="1"/>
  <c r="L27" i="1"/>
  <c r="N27" i="1"/>
  <c r="M27" i="1"/>
  <c r="O27" i="1"/>
  <c r="P27" i="1"/>
  <c r="L30" i="1"/>
  <c r="N30" i="1"/>
  <c r="K30" i="1"/>
  <c r="M30" i="1"/>
  <c r="O30" i="1"/>
  <c r="P30" i="1"/>
  <c r="L32" i="1"/>
  <c r="N32" i="1"/>
  <c r="K32" i="1"/>
  <c r="M32" i="1"/>
  <c r="O32" i="1"/>
  <c r="P32" i="1"/>
  <c r="L33" i="1"/>
  <c r="N33" i="1"/>
  <c r="L35" i="1"/>
  <c r="N35" i="1"/>
  <c r="K35" i="1"/>
  <c r="M35" i="1"/>
  <c r="O35" i="1"/>
  <c r="P35" i="1"/>
  <c r="K36" i="1"/>
  <c r="M36" i="1"/>
  <c r="L37" i="1"/>
  <c r="N37" i="1"/>
  <c r="M37" i="1"/>
  <c r="O37" i="1"/>
  <c r="P37" i="1"/>
  <c r="L38" i="1"/>
  <c r="N38" i="1"/>
  <c r="K38" i="1"/>
  <c r="M38" i="1"/>
  <c r="O38" i="1"/>
  <c r="P38" i="1"/>
  <c r="L39" i="1"/>
  <c r="N39" i="1"/>
  <c r="K39" i="1"/>
  <c r="M39" i="1"/>
  <c r="O39" i="1"/>
  <c r="P39" i="1"/>
  <c r="L40" i="1"/>
  <c r="N40" i="1"/>
  <c r="K40" i="1"/>
  <c r="M40" i="1"/>
  <c r="O40" i="1"/>
  <c r="P40" i="1"/>
  <c r="L41" i="1"/>
  <c r="N41" i="1"/>
  <c r="M41" i="1"/>
  <c r="O41" i="1"/>
  <c r="P41" i="1"/>
  <c r="L42" i="1"/>
  <c r="N42" i="1"/>
  <c r="K42" i="1"/>
  <c r="M42" i="1"/>
  <c r="O42" i="1"/>
  <c r="P42" i="1"/>
  <c r="L43" i="1"/>
  <c r="N43" i="1"/>
  <c r="K43" i="1"/>
  <c r="M43" i="1"/>
  <c r="O43" i="1"/>
  <c r="P43" i="1"/>
  <c r="L44" i="1"/>
  <c r="N44" i="1"/>
  <c r="K44" i="1"/>
  <c r="M44" i="1"/>
  <c r="O44" i="1"/>
  <c r="P44" i="1"/>
  <c r="L47" i="1"/>
  <c r="N47" i="1"/>
  <c r="K47" i="1"/>
  <c r="M47" i="1"/>
  <c r="O47" i="1"/>
  <c r="P47" i="1"/>
  <c r="L48" i="1"/>
  <c r="N48" i="1"/>
  <c r="K48" i="1"/>
  <c r="M48" i="1"/>
  <c r="O48" i="1"/>
  <c r="P48" i="1"/>
  <c r="L49" i="1"/>
  <c r="N49" i="1"/>
  <c r="K49" i="1"/>
  <c r="M49" i="1"/>
  <c r="O49" i="1"/>
  <c r="P49" i="1"/>
  <c r="L50" i="1"/>
  <c r="N50" i="1"/>
  <c r="M50" i="1"/>
  <c r="O50" i="1"/>
  <c r="P50" i="1"/>
  <c r="L54" i="1"/>
  <c r="N54" i="1"/>
  <c r="K54" i="1"/>
  <c r="M54" i="1"/>
  <c r="O54" i="1"/>
  <c r="P54" i="1"/>
  <c r="L55" i="1"/>
  <c r="N55" i="1"/>
  <c r="M55" i="1"/>
  <c r="O55" i="1"/>
  <c r="P55" i="1"/>
  <c r="L58" i="1"/>
  <c r="N58" i="1"/>
  <c r="K58" i="1"/>
  <c r="M58" i="1"/>
  <c r="O58" i="1"/>
  <c r="P58" i="1"/>
  <c r="L59" i="1"/>
  <c r="N59" i="1"/>
  <c r="K59" i="1"/>
  <c r="M59" i="1"/>
  <c r="O59" i="1"/>
  <c r="P59" i="1"/>
  <c r="L60" i="1"/>
  <c r="N60" i="1"/>
  <c r="K60" i="1"/>
  <c r="M60" i="1"/>
  <c r="O60" i="1"/>
  <c r="P60" i="1"/>
  <c r="L61" i="1"/>
  <c r="N61" i="1"/>
  <c r="K61" i="1"/>
  <c r="M61" i="1"/>
  <c r="O61" i="1"/>
  <c r="P61" i="1"/>
  <c r="L62" i="1"/>
  <c r="N62" i="1"/>
  <c r="K62" i="1"/>
  <c r="M62" i="1"/>
  <c r="O62" i="1"/>
  <c r="P62" i="1"/>
  <c r="L5" i="1"/>
  <c r="N5" i="1"/>
  <c r="K5" i="1"/>
  <c r="M5" i="1"/>
  <c r="P5" i="1"/>
  <c r="O5" i="1"/>
  <c r="L51" i="1"/>
  <c r="L45" i="1"/>
  <c r="L46" i="1"/>
</calcChain>
</file>

<file path=xl/sharedStrings.xml><?xml version="1.0" encoding="utf-8"?>
<sst xmlns="http://schemas.openxmlformats.org/spreadsheetml/2006/main" count="179" uniqueCount="94">
  <si>
    <t>Sample</t>
  </si>
  <si>
    <t>AW-13</t>
  </si>
  <si>
    <t>AW-14</t>
  </si>
  <si>
    <t>AW-06</t>
  </si>
  <si>
    <t>AW-10</t>
  </si>
  <si>
    <t>AW-17</t>
  </si>
  <si>
    <t>AW-18</t>
  </si>
  <si>
    <t>AW-19B</t>
  </si>
  <si>
    <t>AW-20B</t>
  </si>
  <si>
    <t>AW-21</t>
  </si>
  <si>
    <t>AW-22</t>
  </si>
  <si>
    <t>AW-23</t>
  </si>
  <si>
    <t>AW-25</t>
  </si>
  <si>
    <t>AW-26</t>
  </si>
  <si>
    <t>AW-27</t>
  </si>
  <si>
    <t>AW-28</t>
  </si>
  <si>
    <t>AW-29</t>
  </si>
  <si>
    <t>AW-33</t>
  </si>
  <si>
    <t>AW-34</t>
  </si>
  <si>
    <t>AW-24B</t>
  </si>
  <si>
    <t>AW-37</t>
  </si>
  <si>
    <t>AW-38</t>
  </si>
  <si>
    <t>AW-39</t>
  </si>
  <si>
    <t>AW-40</t>
  </si>
  <si>
    <t>AW-41</t>
  </si>
  <si>
    <t>AW-42</t>
  </si>
  <si>
    <t>AW-43</t>
  </si>
  <si>
    <t>AW-44</t>
  </si>
  <si>
    <t>AW-45</t>
  </si>
  <si>
    <t>AW-46</t>
  </si>
  <si>
    <t>AW-47</t>
  </si>
  <si>
    <t>KI-05</t>
  </si>
  <si>
    <t>KI-06</t>
  </si>
  <si>
    <t>KI-07</t>
  </si>
  <si>
    <t>KI-08</t>
  </si>
  <si>
    <t>KI-09</t>
  </si>
  <si>
    <t>KI-10</t>
  </si>
  <si>
    <t>KI-11</t>
  </si>
  <si>
    <t>KI-12</t>
  </si>
  <si>
    <t>KI-14</t>
  </si>
  <si>
    <t>KI-15</t>
  </si>
  <si>
    <t>KI-16</t>
  </si>
  <si>
    <t>KI-17</t>
  </si>
  <si>
    <t>KI-18</t>
  </si>
  <si>
    <t>KI-19</t>
  </si>
  <si>
    <t>KI-20</t>
  </si>
  <si>
    <t>KI-21</t>
  </si>
  <si>
    <t>KI-22</t>
  </si>
  <si>
    <t>KI-23</t>
  </si>
  <si>
    <t>KI-25</t>
  </si>
  <si>
    <t>KI-24</t>
  </si>
  <si>
    <t>KI-26</t>
  </si>
  <si>
    <t>KI-27</t>
  </si>
  <si>
    <t>KI-28</t>
  </si>
  <si>
    <t>KI-29</t>
  </si>
  <si>
    <t>KI-30</t>
  </si>
  <si>
    <t>KI-31</t>
  </si>
  <si>
    <t>KI-32</t>
  </si>
  <si>
    <t>K1-33</t>
  </si>
  <si>
    <t>KI-36</t>
  </si>
  <si>
    <t>KI-37</t>
  </si>
  <si>
    <t>KI-38</t>
  </si>
  <si>
    <t>mass H2O added to capsule</t>
  </si>
  <si>
    <t>mass AgOx added to capsule</t>
  </si>
  <si>
    <t>mass SM powder added to capsule</t>
  </si>
  <si>
    <t>mass H2O added, corrected</t>
  </si>
  <si>
    <t>Details of capsule</t>
  </si>
  <si>
    <t>H2O wt%</t>
  </si>
  <si>
    <t>CO2 ppm</t>
  </si>
  <si>
    <t>Volatiles dissolved in glass post-run</t>
  </si>
  <si>
    <t>Fluids Calculated by Mass Balance</t>
  </si>
  <si>
    <t>CO2 fluid (grams)</t>
  </si>
  <si>
    <t>H2O fluid (grams)</t>
  </si>
  <si>
    <t>XH2O fluid</t>
  </si>
  <si>
    <t>XCO2 fluid</t>
  </si>
  <si>
    <t>mass CO2 in AgOx added</t>
  </si>
  <si>
    <t>moles H2O fluid</t>
  </si>
  <si>
    <t>moles CO2 fluid</t>
  </si>
  <si>
    <t>Fluid Measured with method of Behrens et al (2009)</t>
  </si>
  <si>
    <t>1:1 Line</t>
  </si>
  <si>
    <t>X</t>
  </si>
  <si>
    <t>Y</t>
  </si>
  <si>
    <t>Details of Capsule</t>
  </si>
  <si>
    <t>Fluids Measured by Weight-Loss</t>
  </si>
  <si>
    <t>Dissolved Volatiles Calculated by Mass Balance</t>
  </si>
  <si>
    <t>H2Omelt (wt%)</t>
  </si>
  <si>
    <t>CO2melt (wt%)</t>
  </si>
  <si>
    <t>CO2melt (ppm)</t>
  </si>
  <si>
    <t>Dissolved Volatiles Measured by FTIR</t>
  </si>
  <si>
    <t>nd</t>
  </si>
  <si>
    <t>Dissolved H2O "By Difference"</t>
  </si>
  <si>
    <t>Microprobe Total</t>
  </si>
  <si>
    <t>Dissolved Volatiles (wt%)</t>
  </si>
  <si>
    <t>H2Omelt (wt%, corrected)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</si>
</sst>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>
    <font>
      <sz val="12"/>
      <color theme="1"/>
      <name val="Calibri"/>
      <family val="2"/>
      <charset val="134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Border="1"/>
    <xf numFmtId="0" fontId="0" fillId="2" borderId="0" xfId="0" applyFill="1" applyBorder="1"/>
    <xf numFmtId="0" fontId="0" fillId="2" borderId="0" xfId="0" applyFill="1"/>
    <xf numFmtId="0" fontId="0" fillId="0" borderId="1" xfId="0" applyFont="1" applyFill="1" applyBorder="1"/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0" fillId="0" borderId="1" xfId="0" applyNumberFormat="1" applyFont="1" applyFill="1" applyBorder="1"/>
    <xf numFmtId="164" fontId="0" fillId="0" borderId="0" xfId="0" applyNumberFormat="1"/>
    <xf numFmtId="164" fontId="0" fillId="0" borderId="0" xfId="0" applyNumberFormat="1" applyFont="1" applyBorder="1"/>
    <xf numFmtId="2" fontId="0" fillId="0" borderId="0" xfId="0" applyNumberFormat="1"/>
    <xf numFmtId="0" fontId="2" fillId="2" borderId="0" xfId="0" applyFont="1" applyFill="1" applyBorder="1" applyAlignment="1">
      <alignment horizontal="center"/>
    </xf>
    <xf numFmtId="0" fontId="0" fillId="2" borderId="1" xfId="0" applyFill="1" applyBorder="1"/>
    <xf numFmtId="2" fontId="0" fillId="2" borderId="0" xfId="0" applyNumberFormat="1" applyFill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2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'Fluid Compsotions'!$R$1:$R$2</c:f>
              <c:strCache>
                <c:ptCount val="2"/>
                <c:pt idx="0">
                  <c:v>Fluid Measured with method of Behrens et al (2009)</c:v>
                </c:pt>
                <c:pt idx="1">
                  <c:v>H2O fluid (grams)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noFill/>
              </a:ln>
            </c:spPr>
            <c:trendlineType val="linear"/>
            <c:dispRSqr val="1"/>
            <c:dispEq val="0"/>
            <c:trendlineLbl>
              <c:layout>
                <c:manualLayout>
                  <c:x val="-0.65281685395642397"/>
                  <c:y val="-0.21259865209983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fr-FR"/>
                </a:p>
              </c:txPr>
            </c:trendlineLbl>
          </c:trendline>
          <c:xVal>
            <c:numRef>
              <c:f>('Fluid Compsotions'!$K$3:$K$7,'Fluid Compsotions'!$K$9:$K$21,'Fluid Compsotions'!$K$23:$K$27,'Fluid Compsotions'!$K$30:$K$32,'Fluid Compsotions'!$K$35:$K$44,'Fluid Compsotions'!$K$47:$K$50,'Fluid Compsotions'!$K$54:$K$55,'Fluid Compsotions'!$K$58:$K$63)</c:f>
              <c:numCache>
                <c:formatCode>0.0000</c:formatCode>
                <c:ptCount val="48"/>
                <c:pt idx="0">
                  <c:v>7.0750000000000012E-5</c:v>
                </c:pt>
                <c:pt idx="1">
                  <c:v>1.4696050000000006E-3</c:v>
                </c:pt>
                <c:pt idx="2">
                  <c:v>1.0747150000000004E-3</c:v>
                </c:pt>
                <c:pt idx="3">
                  <c:v>1.3534300000000001E-3</c:v>
                </c:pt>
                <c:pt idx="4">
                  <c:v>6.5426999999999976E-4</c:v>
                </c:pt>
                <c:pt idx="5">
                  <c:v>0</c:v>
                </c:pt>
                <c:pt idx="6">
                  <c:v>5.260550000000001E-4</c:v>
                </c:pt>
                <c:pt idx="7">
                  <c:v>7.1190999999999984E-4</c:v>
                </c:pt>
                <c:pt idx="8">
                  <c:v>1.2733800000000002E-3</c:v>
                </c:pt>
                <c:pt idx="9">
                  <c:v>1.793525E-3</c:v>
                </c:pt>
                <c:pt idx="10">
                  <c:v>0</c:v>
                </c:pt>
                <c:pt idx="11">
                  <c:v>2.3537500000000002E-4</c:v>
                </c:pt>
                <c:pt idx="12">
                  <c:v>5.9477499999999986E-4</c:v>
                </c:pt>
                <c:pt idx="13">
                  <c:v>1.5667750000000003E-3</c:v>
                </c:pt>
                <c:pt idx="14">
                  <c:v>1.2989750000000004E-3</c:v>
                </c:pt>
                <c:pt idx="15">
                  <c:v>0</c:v>
                </c:pt>
                <c:pt idx="16">
                  <c:v>9.8175000000000042E-4</c:v>
                </c:pt>
                <c:pt idx="17">
                  <c:v>3.0540199999999997E-3</c:v>
                </c:pt>
                <c:pt idx="18">
                  <c:v>1.2064750000000003E-3</c:v>
                </c:pt>
                <c:pt idx="19">
                  <c:v>1.8448499999999999E-3</c:v>
                </c:pt>
                <c:pt idx="20">
                  <c:v>1.4510400000000002E-3</c:v>
                </c:pt>
                <c:pt idx="21">
                  <c:v>3.8143000000000009E-4</c:v>
                </c:pt>
                <c:pt idx="22">
                  <c:v>4.4475000000000092E-5</c:v>
                </c:pt>
                <c:pt idx="23">
                  <c:v>1.8258000000000076E-4</c:v>
                </c:pt>
                <c:pt idx="24">
                  <c:v>1.2392600000000003E-3</c:v>
                </c:pt>
                <c:pt idx="25">
                  <c:v>1.7956600000000001E-3</c:v>
                </c:pt>
                <c:pt idx="26">
                  <c:v>7.5525000000000028E-4</c:v>
                </c:pt>
                <c:pt idx="27">
                  <c:v>1.15E-3</c:v>
                </c:pt>
                <c:pt idx="28">
                  <c:v>0</c:v>
                </c:pt>
                <c:pt idx="29">
                  <c:v>6.4148000000000004E-4</c:v>
                </c:pt>
                <c:pt idx="30">
                  <c:v>1.4855700000000001E-3</c:v>
                </c:pt>
                <c:pt idx="31">
                  <c:v>2.202875E-3</c:v>
                </c:pt>
                <c:pt idx="32">
                  <c:v>0</c:v>
                </c:pt>
                <c:pt idx="33">
                  <c:v>3.113650000000003E-4</c:v>
                </c:pt>
                <c:pt idx="34">
                  <c:v>6.5043500000000042E-4</c:v>
                </c:pt>
                <c:pt idx="35">
                  <c:v>1.7748E-3</c:v>
                </c:pt>
                <c:pt idx="36">
                  <c:v>3.1443249999999999E-3</c:v>
                </c:pt>
                <c:pt idx="37">
                  <c:v>9.5742500000000025E-4</c:v>
                </c:pt>
                <c:pt idx="38">
                  <c:v>1.4952500000000018E-4</c:v>
                </c:pt>
                <c:pt idx="39">
                  <c:v>0</c:v>
                </c:pt>
                <c:pt idx="40">
                  <c:v>3.4310000000000005E-4</c:v>
                </c:pt>
                <c:pt idx="41">
                  <c:v>0</c:v>
                </c:pt>
                <c:pt idx="42">
                  <c:v>1.15952E-3</c:v>
                </c:pt>
                <c:pt idx="43">
                  <c:v>2.200175E-3</c:v>
                </c:pt>
                <c:pt idx="44">
                  <c:v>4.5721300000000006E-3</c:v>
                </c:pt>
                <c:pt idx="45">
                  <c:v>7.6144999999999989E-4</c:v>
                </c:pt>
                <c:pt idx="46">
                  <c:v>2.0588200000000003E-3</c:v>
                </c:pt>
                <c:pt idx="47">
                  <c:v>3.3784300000000008E-3</c:v>
                </c:pt>
              </c:numCache>
            </c:numRef>
          </c:xVal>
          <c:yVal>
            <c:numRef>
              <c:f>('Fluid Compsotions'!$R$3:$R$7,'Fluid Compsotions'!$R$9:$R$21,'Fluid Compsotions'!$R$23:$R$27,'Fluid Compsotions'!$R$30:$R$32,'Fluid Compsotions'!$R$35:$R$44,'Fluid Compsotions'!$R$47:$R$50,'Fluid Compsotions'!$R$54:$R$55,'Fluid Compsotions'!$R$58:$R$63)</c:f>
              <c:numCache>
                <c:formatCode>General</c:formatCode>
                <c:ptCount val="48"/>
                <c:pt idx="0">
                  <c:v>0</c:v>
                </c:pt>
                <c:pt idx="1">
                  <c:v>1.5E-3</c:v>
                </c:pt>
                <c:pt idx="2">
                  <c:v>7.0000000000003393E-4</c:v>
                </c:pt>
                <c:pt idx="3">
                  <c:v>1.9999999999997797E-4</c:v>
                </c:pt>
                <c:pt idx="4">
                  <c:v>5.0000000000000001E-4</c:v>
                </c:pt>
                <c:pt idx="5">
                  <c:v>4.0000000000006697E-4</c:v>
                </c:pt>
                <c:pt idx="6">
                  <c:v>8.9999999999990088E-4</c:v>
                </c:pt>
                <c:pt idx="7">
                  <c:v>9.000000000000119E-4</c:v>
                </c:pt>
                <c:pt idx="8">
                  <c:v>8.0000000000002292E-4</c:v>
                </c:pt>
                <c:pt idx="9">
                  <c:v>1.3999999999999568E-3</c:v>
                </c:pt>
                <c:pt idx="10">
                  <c:v>2.9999999999996696E-4</c:v>
                </c:pt>
                <c:pt idx="11">
                  <c:v>2.9999999999999997E-4</c:v>
                </c:pt>
                <c:pt idx="12">
                  <c:v>5.0000000000000001E-4</c:v>
                </c:pt>
                <c:pt idx="13">
                  <c:v>8.9999999999999998E-4</c:v>
                </c:pt>
                <c:pt idx="14">
                  <c:v>1.1000000000000001E-3</c:v>
                </c:pt>
                <c:pt idx="15">
                  <c:v>0</c:v>
                </c:pt>
                <c:pt idx="16">
                  <c:v>2.00000000000089E-4</c:v>
                </c:pt>
                <c:pt idx="17">
                  <c:v>2.3999999999999998E-3</c:v>
                </c:pt>
                <c:pt idx="18">
                  <c:v>1.9000000000000128E-3</c:v>
                </c:pt>
                <c:pt idx="19">
                  <c:v>2.3000000000000798E-3</c:v>
                </c:pt>
                <c:pt idx="20">
                  <c:v>1.2999999999999678E-3</c:v>
                </c:pt>
                <c:pt idx="21">
                  <c:v>1.1999999999999789E-3</c:v>
                </c:pt>
                <c:pt idx="22">
                  <c:v>5.0000000000005596E-4</c:v>
                </c:pt>
                <c:pt idx="23">
                  <c:v>1.4999999999999458E-3</c:v>
                </c:pt>
                <c:pt idx="24">
                  <c:v>1.4000000000000679E-3</c:v>
                </c:pt>
                <c:pt idx="25">
                  <c:v>1.2000000000000899E-3</c:v>
                </c:pt>
                <c:pt idx="28">
                  <c:v>3.9999999999995595E-4</c:v>
                </c:pt>
                <c:pt idx="29">
                  <c:v>5.9999999999993392E-4</c:v>
                </c:pt>
                <c:pt idx="30">
                  <c:v>1.9000000000000128E-3</c:v>
                </c:pt>
                <c:pt idx="31">
                  <c:v>2.5999999999999357E-3</c:v>
                </c:pt>
                <c:pt idx="32">
                  <c:v>5.9999999999993392E-4</c:v>
                </c:pt>
                <c:pt idx="33">
                  <c:v>1.0000000000000009E-3</c:v>
                </c:pt>
                <c:pt idx="34">
                  <c:v>1.2999999999999678E-3</c:v>
                </c:pt>
                <c:pt idx="35">
                  <c:v>2.0999999999999908E-3</c:v>
                </c:pt>
                <c:pt idx="36">
                  <c:v>1.1000000000000001E-3</c:v>
                </c:pt>
                <c:pt idx="37">
                  <c:v>1.0000000000000009E-3</c:v>
                </c:pt>
                <c:pt idx="38">
                  <c:v>4.9999999999994493E-4</c:v>
                </c:pt>
                <c:pt idx="39">
                  <c:v>2.9999999999996696E-4</c:v>
                </c:pt>
                <c:pt idx="40">
                  <c:v>7.0000000000003393E-4</c:v>
                </c:pt>
                <c:pt idx="41">
                  <c:v>5.0000000000005596E-4</c:v>
                </c:pt>
                <c:pt idx="42">
                  <c:v>1.4999999999999458E-3</c:v>
                </c:pt>
                <c:pt idx="43">
                  <c:v>2.3999999999999577E-3</c:v>
                </c:pt>
                <c:pt idx="44">
                  <c:v>3.3E-3</c:v>
                </c:pt>
                <c:pt idx="45">
                  <c:v>1.0999999999999899E-3</c:v>
                </c:pt>
                <c:pt idx="46">
                  <c:v>2.3999999999999577E-3</c:v>
                </c:pt>
                <c:pt idx="47">
                  <c:v>3.7000000000000366E-3</c:v>
                </c:pt>
              </c:numCache>
            </c:numRef>
          </c:yVal>
          <c:smooth val="0"/>
        </c:ser>
        <c:ser>
          <c:idx val="1"/>
          <c:order val="1"/>
          <c:tx>
            <c:v>1:1 line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'Fluid Compsotions'!$A$77:$A$83</c:f>
              <c:numCache>
                <c:formatCode>General</c:formatCode>
                <c:ptCount val="7"/>
                <c:pt idx="0">
                  <c:v>0</c:v>
                </c:pt>
                <c:pt idx="1">
                  <c:v>1.0000000000000001E-5</c:v>
                </c:pt>
                <c:pt idx="2">
                  <c:v>1E-4</c:v>
                </c:pt>
                <c:pt idx="3">
                  <c:v>1E-3</c:v>
                </c:pt>
                <c:pt idx="4">
                  <c:v>0.01</c:v>
                </c:pt>
                <c:pt idx="5">
                  <c:v>0.1</c:v>
                </c:pt>
                <c:pt idx="6">
                  <c:v>1</c:v>
                </c:pt>
              </c:numCache>
            </c:numRef>
          </c:xVal>
          <c:yVal>
            <c:numRef>
              <c:f>'Fluid Compsotions'!$B$77:$B$83</c:f>
              <c:numCache>
                <c:formatCode>General</c:formatCode>
                <c:ptCount val="7"/>
                <c:pt idx="0">
                  <c:v>0</c:v>
                </c:pt>
                <c:pt idx="1">
                  <c:v>1.0000000000000001E-5</c:v>
                </c:pt>
                <c:pt idx="2">
                  <c:v>1E-4</c:v>
                </c:pt>
                <c:pt idx="3">
                  <c:v>1E-3</c:v>
                </c:pt>
                <c:pt idx="4">
                  <c:v>0.01</c:v>
                </c:pt>
                <c:pt idx="5">
                  <c:v>0.1</c:v>
                </c:pt>
                <c:pt idx="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1827472"/>
        <c:axId val="1624961600"/>
      </c:scatterChart>
      <c:valAx>
        <c:axId val="1451827472"/>
        <c:scaling>
          <c:orientation val="minMax"/>
          <c:max val="5.0000000000000001E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H2O fluid (grams, mass balance)</a:t>
                </a:r>
              </a:p>
            </c:rich>
          </c:tx>
          <c:overlay val="0"/>
        </c:title>
        <c:numFmt formatCode="0.0000" sourceLinked="1"/>
        <c:majorTickMark val="out"/>
        <c:minorTickMark val="none"/>
        <c:tickLblPos val="nextTo"/>
        <c:crossAx val="1624961600"/>
        <c:crosses val="autoZero"/>
        <c:crossBetween val="midCat"/>
      </c:valAx>
      <c:valAx>
        <c:axId val="1624961600"/>
        <c:scaling>
          <c:orientation val="minMax"/>
          <c:max val="5.0000000000000001E-3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H2O fluid (grams, weight-loss method)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51827472"/>
        <c:crosses val="autoZero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'Fluid Compsotions'!$S$1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trendline>
            <c:spPr>
              <a:ln>
                <a:noFill/>
              </a:ln>
            </c:spPr>
            <c:trendlineType val="linear"/>
            <c:dispRSqr val="1"/>
            <c:dispEq val="0"/>
            <c:trendlineLbl>
              <c:layout>
                <c:manualLayout>
                  <c:x val="-0.63308784561472298"/>
                  <c:y val="-0.17264056081018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fr-FR"/>
                </a:p>
              </c:txPr>
            </c:trendlineLbl>
          </c:trendline>
          <c:xVal>
            <c:numRef>
              <c:f>'Fluid Compsotions'!$L$3:$L$63</c:f>
              <c:numCache>
                <c:formatCode>0.0000</c:formatCode>
                <c:ptCount val="61"/>
                <c:pt idx="0">
                  <c:v>7.3841223536962671E-4</c:v>
                </c:pt>
                <c:pt idx="1">
                  <c:v>0</c:v>
                </c:pt>
                <c:pt idx="2">
                  <c:v>6.0499087881969585E-4</c:v>
                </c:pt>
                <c:pt idx="3">
                  <c:v>1.3884630141893224E-3</c:v>
                </c:pt>
                <c:pt idx="4">
                  <c:v>1.6316614246692121E-3</c:v>
                </c:pt>
                <c:pt idx="7">
                  <c:v>4.8973540753176224E-3</c:v>
                </c:pt>
                <c:pt idx="8">
                  <c:v>1.789382432529129E-3</c:v>
                </c:pt>
                <c:pt idx="9">
                  <c:v>8.6824279060957138E-4</c:v>
                </c:pt>
                <c:pt idx="10">
                  <c:v>0</c:v>
                </c:pt>
                <c:pt idx="11">
                  <c:v>4.8393190753176218E-3</c:v>
                </c:pt>
                <c:pt idx="12">
                  <c:v>2.4433038126588113E-3</c:v>
                </c:pt>
                <c:pt idx="13">
                  <c:v>1.5853111733592259E-3</c:v>
                </c:pt>
                <c:pt idx="14">
                  <c:v>8.1114653929958535E-4</c:v>
                </c:pt>
                <c:pt idx="15">
                  <c:v>0</c:v>
                </c:pt>
                <c:pt idx="16">
                  <c:v>6.1235220316470263E-3</c:v>
                </c:pt>
                <c:pt idx="17">
                  <c:v>2.7715876309986173E-3</c:v>
                </c:pt>
                <c:pt idx="18">
                  <c:v>0</c:v>
                </c:pt>
                <c:pt idx="20">
                  <c:v>0</c:v>
                </c:pt>
                <c:pt idx="21">
                  <c:v>1.4955645720492396E-3</c:v>
                </c:pt>
                <c:pt idx="22">
                  <c:v>2.5130314692087419E-3</c:v>
                </c:pt>
                <c:pt idx="23">
                  <c:v>3.9252523294681062E-3</c:v>
                </c:pt>
                <c:pt idx="24">
                  <c:v>4.9723895266276076E-3</c:v>
                </c:pt>
                <c:pt idx="27">
                  <c:v>2.6826288809986172E-3</c:v>
                </c:pt>
                <c:pt idx="28">
                  <c:v>1.3831157220492395E-3</c:v>
                </c:pt>
                <c:pt idx="29">
                  <c:v>0</c:v>
                </c:pt>
                <c:pt idx="30">
                  <c:v>0</c:v>
                </c:pt>
                <c:pt idx="32">
                  <c:v>1.3479176128793362E-3</c:v>
                </c:pt>
                <c:pt idx="34">
                  <c:v>5.7210434106872493E-3</c:v>
                </c:pt>
                <c:pt idx="35">
                  <c:v>1.3167228115693503E-3</c:v>
                </c:pt>
                <c:pt idx="36">
                  <c:v>3.2447633467184516E-3</c:v>
                </c:pt>
                <c:pt idx="37">
                  <c:v>1.8831215851491012E-3</c:v>
                </c:pt>
                <c:pt idx="38">
                  <c:v>6.4315844908169311E-3</c:v>
                </c:pt>
                <c:pt idx="39">
                  <c:v>3.6827786755381474E-3</c:v>
                </c:pt>
                <c:pt idx="40">
                  <c:v>2.6815414336185898E-3</c:v>
                </c:pt>
                <c:pt idx="41">
                  <c:v>1.4775261668092949E-3</c:v>
                </c:pt>
                <c:pt idx="42">
                  <c:v>0</c:v>
                </c:pt>
                <c:pt idx="43">
                  <c:v>0</c:v>
                </c:pt>
                <c:pt idx="44">
                  <c:v>1.4878862707392534E-3</c:v>
                </c:pt>
                <c:pt idx="45">
                  <c:v>2.7173386309986172E-3</c:v>
                </c:pt>
                <c:pt idx="46">
                  <c:v>3.911098676848134E-3</c:v>
                </c:pt>
                <c:pt idx="47">
                  <c:v>4.8041940253176225E-3</c:v>
                </c:pt>
                <c:pt idx="48">
                  <c:v>0</c:v>
                </c:pt>
                <c:pt idx="51">
                  <c:v>3.969040879468106E-3</c:v>
                </c:pt>
                <c:pt idx="52">
                  <c:v>5.1278849318675528E-3</c:v>
                </c:pt>
                <c:pt idx="55">
                  <c:v>2.7812257257586724E-3</c:v>
                </c:pt>
                <c:pt idx="56">
                  <c:v>1.5832232259791982E-3</c:v>
                </c:pt>
                <c:pt idx="57">
                  <c:v>0</c:v>
                </c:pt>
                <c:pt idx="58">
                  <c:v>2.8101968270686588E-3</c:v>
                </c:pt>
                <c:pt idx="59">
                  <c:v>1.7672371799091569E-3</c:v>
                </c:pt>
              </c:numCache>
            </c:numRef>
          </c:xVal>
          <c:yVal>
            <c:numRef>
              <c:f>'Fluid Compsotions'!$S$3:$S$63</c:f>
              <c:numCache>
                <c:formatCode>General</c:formatCode>
                <c:ptCount val="61"/>
                <c:pt idx="0">
                  <c:v>5.9999999999993392E-4</c:v>
                </c:pt>
                <c:pt idx="1">
                  <c:v>0</c:v>
                </c:pt>
                <c:pt idx="2">
                  <c:v>7.9999999999991189E-4</c:v>
                </c:pt>
                <c:pt idx="3">
                  <c:v>2.0000000000000018E-3</c:v>
                </c:pt>
                <c:pt idx="4">
                  <c:v>1.6000000000000001E-3</c:v>
                </c:pt>
                <c:pt idx="5">
                  <c:v>1.1000000000000001E-3</c:v>
                </c:pt>
                <c:pt idx="6">
                  <c:v>6.0999999999999943E-3</c:v>
                </c:pt>
                <c:pt idx="7">
                  <c:v>4.0000000000000036E-3</c:v>
                </c:pt>
                <c:pt idx="8">
                  <c:v>1.7000000000000348E-3</c:v>
                </c:pt>
                <c:pt idx="9">
                  <c:v>6.9999999999992291E-4</c:v>
                </c:pt>
                <c:pt idx="10">
                  <c:v>0</c:v>
                </c:pt>
                <c:pt idx="11">
                  <c:v>4.7000000000000375E-3</c:v>
                </c:pt>
                <c:pt idx="12">
                  <c:v>2.2000000000000001E-3</c:v>
                </c:pt>
                <c:pt idx="13">
                  <c:v>1.6000000000000001E-3</c:v>
                </c:pt>
                <c:pt idx="14">
                  <c:v>1.1000000000000001E-3</c:v>
                </c:pt>
                <c:pt idx="15">
                  <c:v>0</c:v>
                </c:pt>
                <c:pt idx="16">
                  <c:v>3.5000000000000001E-3</c:v>
                </c:pt>
                <c:pt idx="17">
                  <c:v>1.9999999999997797E-4</c:v>
                </c:pt>
                <c:pt idx="18">
                  <c:v>0</c:v>
                </c:pt>
                <c:pt idx="19">
                  <c:v>4.6000000000000485E-3</c:v>
                </c:pt>
                <c:pt idx="20">
                  <c:v>0</c:v>
                </c:pt>
                <c:pt idx="21">
                  <c:v>9.000000000000119E-4</c:v>
                </c:pt>
                <c:pt idx="22">
                  <c:v>1.8000000000000238E-3</c:v>
                </c:pt>
                <c:pt idx="23">
                  <c:v>3.0000000000000027E-3</c:v>
                </c:pt>
                <c:pt idx="24">
                  <c:v>4.2999999999999705E-3</c:v>
                </c:pt>
                <c:pt idx="25">
                  <c:v>4.5999999999999375E-3</c:v>
                </c:pt>
                <c:pt idx="26">
                  <c:v>2.8000000000000247E-3</c:v>
                </c:pt>
                <c:pt idx="27">
                  <c:v>1.5000000000000568E-3</c:v>
                </c:pt>
                <c:pt idx="28">
                  <c:v>1.1999999999999789E-3</c:v>
                </c:pt>
                <c:pt idx="29">
                  <c:v>0</c:v>
                </c:pt>
                <c:pt idx="34">
                  <c:v>4.9000000000000155E-3</c:v>
                </c:pt>
                <c:pt idx="35">
                  <c:v>1.2000000000000899E-3</c:v>
                </c:pt>
                <c:pt idx="36">
                  <c:v>3.0999999999999917E-3</c:v>
                </c:pt>
                <c:pt idx="37">
                  <c:v>1.8000000000000238E-3</c:v>
                </c:pt>
                <c:pt idx="38">
                  <c:v>5.8000000000000274E-3</c:v>
                </c:pt>
                <c:pt idx="39">
                  <c:v>3.1999999999999806E-3</c:v>
                </c:pt>
                <c:pt idx="40">
                  <c:v>2.7000000000000357E-3</c:v>
                </c:pt>
                <c:pt idx="41">
                  <c:v>1.5000000000000568E-3</c:v>
                </c:pt>
                <c:pt idx="42">
                  <c:v>0</c:v>
                </c:pt>
                <c:pt idx="43">
                  <c:v>0</c:v>
                </c:pt>
                <c:pt idx="44">
                  <c:v>1.6999999999999999E-3</c:v>
                </c:pt>
                <c:pt idx="45">
                  <c:v>2.5999999999999357E-3</c:v>
                </c:pt>
                <c:pt idx="46">
                  <c:v>3.5000000000000586E-3</c:v>
                </c:pt>
                <c:pt idx="47">
                  <c:v>4.6000000000000485E-3</c:v>
                </c:pt>
                <c:pt idx="48">
                  <c:v>0</c:v>
                </c:pt>
                <c:pt idx="49">
                  <c:v>1.1999999999999789E-3</c:v>
                </c:pt>
                <c:pt idx="50">
                  <c:v>2.8999999999999027E-3</c:v>
                </c:pt>
                <c:pt idx="51">
                  <c:v>3.5999999999999366E-3</c:v>
                </c:pt>
                <c:pt idx="52">
                  <c:v>4.6999999999999265E-3</c:v>
                </c:pt>
                <c:pt idx="53">
                  <c:v>4.8999999999999044E-3</c:v>
                </c:pt>
                <c:pt idx="54">
                  <c:v>3.7999999999999146E-3</c:v>
                </c:pt>
                <c:pt idx="55">
                  <c:v>2.5000000000000577E-3</c:v>
                </c:pt>
                <c:pt idx="56">
                  <c:v>1.5000000000000568E-3</c:v>
                </c:pt>
                <c:pt idx="57">
                  <c:v>0</c:v>
                </c:pt>
                <c:pt idx="58">
                  <c:v>2.3999999999999577E-3</c:v>
                </c:pt>
                <c:pt idx="59">
                  <c:v>1.5000000000000568E-3</c:v>
                </c:pt>
                <c:pt idx="6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Line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'Fluid Compsotions'!$A$77:$A$83</c:f>
              <c:numCache>
                <c:formatCode>General</c:formatCode>
                <c:ptCount val="7"/>
                <c:pt idx="0">
                  <c:v>0</c:v>
                </c:pt>
                <c:pt idx="1">
                  <c:v>1.0000000000000001E-5</c:v>
                </c:pt>
                <c:pt idx="2">
                  <c:v>1E-4</c:v>
                </c:pt>
                <c:pt idx="3">
                  <c:v>1E-3</c:v>
                </c:pt>
                <c:pt idx="4">
                  <c:v>0.01</c:v>
                </c:pt>
                <c:pt idx="5">
                  <c:v>0.1</c:v>
                </c:pt>
                <c:pt idx="6">
                  <c:v>1</c:v>
                </c:pt>
              </c:numCache>
            </c:numRef>
          </c:xVal>
          <c:yVal>
            <c:numRef>
              <c:f>'Fluid Compsotions'!$B$77:$B$83</c:f>
              <c:numCache>
                <c:formatCode>General</c:formatCode>
                <c:ptCount val="7"/>
                <c:pt idx="0">
                  <c:v>0</c:v>
                </c:pt>
                <c:pt idx="1">
                  <c:v>1.0000000000000001E-5</c:v>
                </c:pt>
                <c:pt idx="2">
                  <c:v>1E-4</c:v>
                </c:pt>
                <c:pt idx="3">
                  <c:v>1E-3</c:v>
                </c:pt>
                <c:pt idx="4">
                  <c:v>0.01</c:v>
                </c:pt>
                <c:pt idx="5">
                  <c:v>0.1</c:v>
                </c:pt>
                <c:pt idx="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4967584"/>
        <c:axId val="1624965408"/>
      </c:scatterChart>
      <c:valAx>
        <c:axId val="1624967584"/>
        <c:scaling>
          <c:orientation val="minMax"/>
          <c:max val="7.0000000000000001E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CO2 fluid (grams, mas balance)</a:t>
                </a:r>
              </a:p>
            </c:rich>
          </c:tx>
          <c:overlay val="0"/>
        </c:title>
        <c:numFmt formatCode="0.0000" sourceLinked="1"/>
        <c:majorTickMark val="out"/>
        <c:minorTickMark val="none"/>
        <c:tickLblPos val="nextTo"/>
        <c:crossAx val="1624965408"/>
        <c:crosses val="autoZero"/>
        <c:crossBetween val="midCat"/>
      </c:valAx>
      <c:valAx>
        <c:axId val="1624965408"/>
        <c:scaling>
          <c:orientation val="minMax"/>
          <c:max val="7.0000000000000001E-3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CO2 fluid (grams, weight-loss method)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24967584"/>
        <c:crosses val="autoZero"/>
        <c:crossBetween val="midCat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'Fluid Compsotions'!$V$1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spPr>
              <a:ln>
                <a:noFill/>
              </a:ln>
            </c:spPr>
            <c:trendlineType val="linear"/>
            <c:dispRSqr val="1"/>
            <c:dispEq val="0"/>
            <c:trendlineLbl>
              <c:layout>
                <c:manualLayout>
                  <c:x val="-0.74058753627451701"/>
                  <c:y val="-2.7821003025204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fr-FR"/>
                </a:p>
              </c:txPr>
            </c:trendlineLbl>
          </c:trendline>
          <c:xVal>
            <c:numRef>
              <c:f>'Fluid Compsotions'!$O$3:$O$63</c:f>
              <c:numCache>
                <c:formatCode>0.00</c:formatCode>
                <c:ptCount val="61"/>
                <c:pt idx="0">
                  <c:v>0.18959524117369922</c:v>
                </c:pt>
                <c:pt idx="1">
                  <c:v>1</c:v>
                </c:pt>
                <c:pt idx="2">
                  <c:v>0.81264738158709759</c:v>
                </c:pt>
                <c:pt idx="3">
                  <c:v>0.70415276443888286</c:v>
                </c:pt>
                <c:pt idx="4">
                  <c:v>0.4947185560402515</c:v>
                </c:pt>
                <c:pt idx="6">
                  <c:v>0</c:v>
                </c:pt>
                <c:pt idx="7">
                  <c:v>0.20778363809526293</c:v>
                </c:pt>
                <c:pt idx="8">
                  <c:v>0.49275876910665223</c:v>
                </c:pt>
                <c:pt idx="9">
                  <c:v>0.78171114007298148</c:v>
                </c:pt>
                <c:pt idx="10">
                  <c:v>1</c:v>
                </c:pt>
                <c:pt idx="11">
                  <c:v>0</c:v>
                </c:pt>
                <c:pt idx="12">
                  <c:v>0.19042992511324108</c:v>
                </c:pt>
                <c:pt idx="13">
                  <c:v>0.47810265903835369</c:v>
                </c:pt>
                <c:pt idx="14">
                  <c:v>0.82506292233833356</c:v>
                </c:pt>
                <c:pt idx="15">
                  <c:v>1</c:v>
                </c:pt>
                <c:pt idx="16">
                  <c:v>0</c:v>
                </c:pt>
                <c:pt idx="17">
                  <c:v>0.46378067418947705</c:v>
                </c:pt>
                <c:pt idx="18">
                  <c:v>1</c:v>
                </c:pt>
                <c:pt idx="20">
                  <c:v>1</c:v>
                </c:pt>
                <c:pt idx="21">
                  <c:v>0.75074724577442042</c:v>
                </c:pt>
                <c:pt idx="22">
                  <c:v>0.58504001225650148</c:v>
                </c:pt>
                <c:pt idx="23">
                  <c:v>0.19176980589619469</c:v>
                </c:pt>
                <c:pt idx="24">
                  <c:v>2.1373019815843542E-2</c:v>
                </c:pt>
                <c:pt idx="27">
                  <c:v>0.14250274641812352</c:v>
                </c:pt>
                <c:pt idx="28">
                  <c:v>0.68630115191278418</c:v>
                </c:pt>
                <c:pt idx="29">
                  <c:v>1</c:v>
                </c:pt>
                <c:pt idx="32">
                  <c:v>0.57772471068961506</c:v>
                </c:pt>
                <c:pt idx="34">
                  <c:v>0</c:v>
                </c:pt>
                <c:pt idx="35">
                  <c:v>0.54328740638137185</c:v>
                </c:pt>
                <c:pt idx="36">
                  <c:v>0.52783706002690123</c:v>
                </c:pt>
                <c:pt idx="37">
                  <c:v>0.74068653557545638</c:v>
                </c:pt>
                <c:pt idx="38">
                  <c:v>0</c:v>
                </c:pt>
                <c:pt idx="39">
                  <c:v>0.17111443225821377</c:v>
                </c:pt>
                <c:pt idx="40">
                  <c:v>0.37196448960969175</c:v>
                </c:pt>
                <c:pt idx="41">
                  <c:v>0.7457411933134227</c:v>
                </c:pt>
                <c:pt idx="44">
                  <c:v>0.83766417893844092</c:v>
                </c:pt>
                <c:pt idx="45">
                  <c:v>0.46245742560516068</c:v>
                </c:pt>
                <c:pt idx="46">
                  <c:v>8.5379545264113191E-2</c:v>
                </c:pt>
                <c:pt idx="47">
                  <c:v>0</c:v>
                </c:pt>
                <c:pt idx="51">
                  <c:v>0.17428606011975517</c:v>
                </c:pt>
                <c:pt idx="52">
                  <c:v>0</c:v>
                </c:pt>
                <c:pt idx="55">
                  <c:v>0.5044553243372244</c:v>
                </c:pt>
                <c:pt idx="56">
                  <c:v>0.77237690818357263</c:v>
                </c:pt>
                <c:pt idx="57">
                  <c:v>1</c:v>
                </c:pt>
                <c:pt idx="58">
                  <c:v>0.39817432547937848</c:v>
                </c:pt>
                <c:pt idx="59">
                  <c:v>0.73989501626362342</c:v>
                </c:pt>
              </c:numCache>
            </c:numRef>
          </c:xVal>
          <c:yVal>
            <c:numRef>
              <c:f>'Fluid Compsotions'!$V$3:$V$63</c:f>
              <c:numCache>
                <c:formatCode>0.00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0.68117480537866149</c:v>
                </c:pt>
                <c:pt idx="3">
                  <c:v>0.19625334522745796</c:v>
                </c:pt>
                <c:pt idx="4">
                  <c:v>0.43279823733081524</c:v>
                </c:pt>
                <c:pt idx="5">
                  <c:v>0.70944856497903908</c:v>
                </c:pt>
                <c:pt idx="6">
                  <c:v>0.13801540126411563</c:v>
                </c:pt>
                <c:pt idx="7">
                  <c:v>0.35458452722060502</c:v>
                </c:pt>
                <c:pt idx="8">
                  <c:v>0.56382948429535373</c:v>
                </c:pt>
                <c:pt idx="9">
                  <c:v>0.7361860542937485</c:v>
                </c:pt>
                <c:pt idx="10">
                  <c:v>1</c:v>
                </c:pt>
                <c:pt idx="11">
                  <c:v>0.13483972460006388</c:v>
                </c:pt>
                <c:pt idx="12">
                  <c:v>0.24979184013322228</c:v>
                </c:pt>
                <c:pt idx="13">
                  <c:v>0.43279823733081524</c:v>
                </c:pt>
                <c:pt idx="14">
                  <c:v>0.66641984450203628</c:v>
                </c:pt>
                <c:pt idx="15">
                  <c:v>1</c:v>
                </c:pt>
                <c:pt idx="16">
                  <c:v>0</c:v>
                </c:pt>
                <c:pt idx="17">
                  <c:v>0.70944856497915343</c:v>
                </c:pt>
                <c:pt idx="18">
                  <c:v>1</c:v>
                </c:pt>
                <c:pt idx="19">
                  <c:v>0.13736835532613148</c:v>
                </c:pt>
                <c:pt idx="20">
                  <c:v>1</c:v>
                </c:pt>
                <c:pt idx="21">
                  <c:v>0.86187807661517235</c:v>
                </c:pt>
                <c:pt idx="22">
                  <c:v>0.63813646302823879</c:v>
                </c:pt>
                <c:pt idx="23">
                  <c:v>0.49410443571027052</c:v>
                </c:pt>
                <c:pt idx="24">
                  <c:v>0.22113664234165645</c:v>
                </c:pt>
                <c:pt idx="25">
                  <c:v>0.17513831946824251</c:v>
                </c:pt>
                <c:pt idx="26">
                  <c:v>0.51135042999921865</c:v>
                </c:pt>
                <c:pt idx="27">
                  <c:v>0.70944856497902387</c:v>
                </c:pt>
                <c:pt idx="28">
                  <c:v>0.74017110448910239</c:v>
                </c:pt>
                <c:pt idx="29">
                  <c:v>1</c:v>
                </c:pt>
                <c:pt idx="34">
                  <c:v>0.16619766190105892</c:v>
                </c:pt>
                <c:pt idx="35">
                  <c:v>0.54972513743123852</c:v>
                </c:pt>
                <c:pt idx="36">
                  <c:v>0.59944644419268556</c:v>
                </c:pt>
                <c:pt idx="37">
                  <c:v>0.77910049306708873</c:v>
                </c:pt>
                <c:pt idx="38">
                  <c:v>0.20165602370984126</c:v>
                </c:pt>
                <c:pt idx="39">
                  <c:v>0.4327982373308169</c:v>
                </c:pt>
                <c:pt idx="40">
                  <c:v>0.54036692047536239</c:v>
                </c:pt>
                <c:pt idx="41">
                  <c:v>0.7736749560411883</c:v>
                </c:pt>
                <c:pt idx="42">
                  <c:v>1</c:v>
                </c:pt>
                <c:pt idx="43">
                  <c:v>1</c:v>
                </c:pt>
                <c:pt idx="44">
                  <c:v>0.61239466558696265</c:v>
                </c:pt>
                <c:pt idx="45">
                  <c:v>0.48430414300181157</c:v>
                </c:pt>
                <c:pt idx="46">
                  <c:v>0.25861055601267108</c:v>
                </c:pt>
                <c:pt idx="47">
                  <c:v>0.13736835532613148</c:v>
                </c:pt>
                <c:pt idx="48">
                  <c:v>1</c:v>
                </c:pt>
                <c:pt idx="49">
                  <c:v>0.83003206942086394</c:v>
                </c:pt>
                <c:pt idx="50">
                  <c:v>0.43110017635917453</c:v>
                </c:pt>
                <c:pt idx="51">
                  <c:v>0.32193327201272454</c:v>
                </c:pt>
                <c:pt idx="52">
                  <c:v>0.2061971619772642</c:v>
                </c:pt>
                <c:pt idx="53">
                  <c:v>0.13005182368128643</c:v>
                </c:pt>
                <c:pt idx="54">
                  <c:v>0.31024618236030366</c:v>
                </c:pt>
                <c:pt idx="55">
                  <c:v>0.59432687978386689</c:v>
                </c:pt>
                <c:pt idx="56">
                  <c:v>0.7961999547613573</c:v>
                </c:pt>
                <c:pt idx="57">
                  <c:v>1</c:v>
                </c:pt>
                <c:pt idx="58">
                  <c:v>0.52810754189944342</c:v>
                </c:pt>
                <c:pt idx="59">
                  <c:v>0.7961999547613573</c:v>
                </c:pt>
                <c:pt idx="6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1:1 Line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'Fluid Compsotions'!$A$77:$A$83</c:f>
              <c:numCache>
                <c:formatCode>General</c:formatCode>
                <c:ptCount val="7"/>
                <c:pt idx="0">
                  <c:v>0</c:v>
                </c:pt>
                <c:pt idx="1">
                  <c:v>1.0000000000000001E-5</c:v>
                </c:pt>
                <c:pt idx="2">
                  <c:v>1E-4</c:v>
                </c:pt>
                <c:pt idx="3">
                  <c:v>1E-3</c:v>
                </c:pt>
                <c:pt idx="4">
                  <c:v>0.01</c:v>
                </c:pt>
                <c:pt idx="5">
                  <c:v>0.1</c:v>
                </c:pt>
                <c:pt idx="6">
                  <c:v>1</c:v>
                </c:pt>
              </c:numCache>
            </c:numRef>
          </c:xVal>
          <c:yVal>
            <c:numRef>
              <c:f>'Fluid Compsotions'!$B$77:$B$83</c:f>
              <c:numCache>
                <c:formatCode>General</c:formatCode>
                <c:ptCount val="7"/>
                <c:pt idx="0">
                  <c:v>0</c:v>
                </c:pt>
                <c:pt idx="1">
                  <c:v>1.0000000000000001E-5</c:v>
                </c:pt>
                <c:pt idx="2">
                  <c:v>1E-4</c:v>
                </c:pt>
                <c:pt idx="3">
                  <c:v>1E-3</c:v>
                </c:pt>
                <c:pt idx="4">
                  <c:v>0.01</c:v>
                </c:pt>
                <c:pt idx="5">
                  <c:v>0.1</c:v>
                </c:pt>
                <c:pt idx="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4965952"/>
        <c:axId val="1624973024"/>
      </c:scatterChart>
      <c:valAx>
        <c:axId val="1624965952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XH2O fluid (mass balance)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624973024"/>
        <c:crosses val="autoZero"/>
        <c:crossBetween val="midCat"/>
      </c:valAx>
      <c:valAx>
        <c:axId val="1624973024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XH2O fluid (weight-loss method)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624965952"/>
        <c:crosses val="autoZero"/>
        <c:crossBetween val="midCat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'Fluid Compsotions'!$W$1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trendline>
            <c:spPr>
              <a:ln>
                <a:noFill/>
              </a:ln>
            </c:spPr>
            <c:trendlineType val="linear"/>
            <c:dispRSqr val="1"/>
            <c:dispEq val="0"/>
            <c:trendlineLbl>
              <c:layout>
                <c:manualLayout>
                  <c:x val="-0.74058753627451701"/>
                  <c:y val="-0.11433650499003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fr-FR"/>
                </a:p>
              </c:txPr>
            </c:trendlineLbl>
          </c:trendline>
          <c:xVal>
            <c:numRef>
              <c:f>'Fluid Compsotions'!$P$3:$P$63</c:f>
              <c:numCache>
                <c:formatCode>0.00</c:formatCode>
                <c:ptCount val="61"/>
                <c:pt idx="0">
                  <c:v>0.81040475882630081</c:v>
                </c:pt>
                <c:pt idx="1">
                  <c:v>0</c:v>
                </c:pt>
                <c:pt idx="2">
                  <c:v>0.18735261841290241</c:v>
                </c:pt>
                <c:pt idx="3">
                  <c:v>0.29584723556111719</c:v>
                </c:pt>
                <c:pt idx="4">
                  <c:v>0.5052814439597485</c:v>
                </c:pt>
                <c:pt idx="6">
                  <c:v>1</c:v>
                </c:pt>
                <c:pt idx="7">
                  <c:v>0.79221636190473699</c:v>
                </c:pt>
                <c:pt idx="8">
                  <c:v>0.50724123089334772</c:v>
                </c:pt>
                <c:pt idx="9">
                  <c:v>0.21828885992701849</c:v>
                </c:pt>
                <c:pt idx="10">
                  <c:v>0</c:v>
                </c:pt>
                <c:pt idx="11">
                  <c:v>1</c:v>
                </c:pt>
                <c:pt idx="12">
                  <c:v>0.80957007488675892</c:v>
                </c:pt>
                <c:pt idx="13">
                  <c:v>0.52189734096164631</c:v>
                </c:pt>
                <c:pt idx="14">
                  <c:v>0.17493707766166652</c:v>
                </c:pt>
                <c:pt idx="15">
                  <c:v>0</c:v>
                </c:pt>
                <c:pt idx="16">
                  <c:v>1</c:v>
                </c:pt>
                <c:pt idx="17">
                  <c:v>0.5362193258105229</c:v>
                </c:pt>
                <c:pt idx="18">
                  <c:v>0</c:v>
                </c:pt>
                <c:pt idx="20">
                  <c:v>0</c:v>
                </c:pt>
                <c:pt idx="21">
                  <c:v>0.24925275422557969</c:v>
                </c:pt>
                <c:pt idx="22">
                  <c:v>0.41495998774349846</c:v>
                </c:pt>
                <c:pt idx="23">
                  <c:v>0.80823019410380537</c:v>
                </c:pt>
                <c:pt idx="24">
                  <c:v>0.97862698018415639</c:v>
                </c:pt>
                <c:pt idx="27">
                  <c:v>0.85749725358187645</c:v>
                </c:pt>
                <c:pt idx="28">
                  <c:v>0.31369884808721582</c:v>
                </c:pt>
                <c:pt idx="29">
                  <c:v>0</c:v>
                </c:pt>
                <c:pt idx="32">
                  <c:v>0.42227528931038477</c:v>
                </c:pt>
                <c:pt idx="34">
                  <c:v>1</c:v>
                </c:pt>
                <c:pt idx="35">
                  <c:v>0.4567125936186282</c:v>
                </c:pt>
                <c:pt idx="36">
                  <c:v>0.47216293997309866</c:v>
                </c:pt>
                <c:pt idx="37">
                  <c:v>0.25931346442454356</c:v>
                </c:pt>
                <c:pt idx="38">
                  <c:v>1</c:v>
                </c:pt>
                <c:pt idx="39">
                  <c:v>0.82888556774178612</c:v>
                </c:pt>
                <c:pt idx="40">
                  <c:v>0.62803551039030836</c:v>
                </c:pt>
                <c:pt idx="41">
                  <c:v>0.25425880668657724</c:v>
                </c:pt>
                <c:pt idx="44">
                  <c:v>0.16233582106155903</c:v>
                </c:pt>
                <c:pt idx="45">
                  <c:v>0.53754257439483932</c:v>
                </c:pt>
                <c:pt idx="46">
                  <c:v>0.91462045473588671</c:v>
                </c:pt>
                <c:pt idx="47">
                  <c:v>1</c:v>
                </c:pt>
                <c:pt idx="51">
                  <c:v>0.82571393988024488</c:v>
                </c:pt>
                <c:pt idx="52">
                  <c:v>1</c:v>
                </c:pt>
                <c:pt idx="55">
                  <c:v>0.4955446756627756</c:v>
                </c:pt>
                <c:pt idx="56">
                  <c:v>0.22762309181642734</c:v>
                </c:pt>
                <c:pt idx="57">
                  <c:v>0</c:v>
                </c:pt>
                <c:pt idx="58">
                  <c:v>0.60182567452062152</c:v>
                </c:pt>
                <c:pt idx="59">
                  <c:v>0.26010498373637664</c:v>
                </c:pt>
              </c:numCache>
            </c:numRef>
          </c:xVal>
          <c:yVal>
            <c:numRef>
              <c:f>'Fluid Compsotions'!$W$3:$W$63</c:f>
              <c:numCache>
                <c:formatCode>0.00</c:formatCode>
                <c:ptCount val="61"/>
                <c:pt idx="0">
                  <c:v>1</c:v>
                </c:pt>
                <c:pt idx="1">
                  <c:v>0</c:v>
                </c:pt>
                <c:pt idx="2">
                  <c:v>0.31882519462133851</c:v>
                </c:pt>
                <c:pt idx="3">
                  <c:v>0.80374665477254192</c:v>
                </c:pt>
                <c:pt idx="4">
                  <c:v>0.56720176266918476</c:v>
                </c:pt>
                <c:pt idx="5">
                  <c:v>0.29055143502096098</c:v>
                </c:pt>
                <c:pt idx="6">
                  <c:v>0.8619845987358844</c:v>
                </c:pt>
                <c:pt idx="7">
                  <c:v>0.64541547277939504</c:v>
                </c:pt>
                <c:pt idx="8">
                  <c:v>0.43617051570464632</c:v>
                </c:pt>
                <c:pt idx="9">
                  <c:v>0.26381394570625155</c:v>
                </c:pt>
                <c:pt idx="10">
                  <c:v>0</c:v>
                </c:pt>
                <c:pt idx="11">
                  <c:v>0.86516027539993623</c:v>
                </c:pt>
                <c:pt idx="12">
                  <c:v>0.75020815986677769</c:v>
                </c:pt>
                <c:pt idx="13">
                  <c:v>0.56720176266918476</c:v>
                </c:pt>
                <c:pt idx="14">
                  <c:v>0.33358015549796372</c:v>
                </c:pt>
                <c:pt idx="15">
                  <c:v>0</c:v>
                </c:pt>
                <c:pt idx="16">
                  <c:v>1</c:v>
                </c:pt>
                <c:pt idx="17">
                  <c:v>0.29055143502084657</c:v>
                </c:pt>
                <c:pt idx="18">
                  <c:v>0</c:v>
                </c:pt>
                <c:pt idx="19">
                  <c:v>0.86263164467386855</c:v>
                </c:pt>
                <c:pt idx="20">
                  <c:v>0</c:v>
                </c:pt>
                <c:pt idx="21">
                  <c:v>0.13812192338482771</c:v>
                </c:pt>
                <c:pt idx="22">
                  <c:v>0.36186353697176116</c:v>
                </c:pt>
                <c:pt idx="23">
                  <c:v>0.50589556428972948</c:v>
                </c:pt>
                <c:pt idx="24">
                  <c:v>0.77886335765834358</c:v>
                </c:pt>
                <c:pt idx="25">
                  <c:v>0.82486168053175735</c:v>
                </c:pt>
                <c:pt idx="26">
                  <c:v>0.48864957000078135</c:v>
                </c:pt>
                <c:pt idx="27">
                  <c:v>0.29055143502097625</c:v>
                </c:pt>
                <c:pt idx="28">
                  <c:v>0.25982889551089761</c:v>
                </c:pt>
                <c:pt idx="29">
                  <c:v>0</c:v>
                </c:pt>
                <c:pt idx="34">
                  <c:v>0.833802338098941</c:v>
                </c:pt>
                <c:pt idx="35">
                  <c:v>0.45027486256876142</c:v>
                </c:pt>
                <c:pt idx="36">
                  <c:v>0.40055355580731439</c:v>
                </c:pt>
                <c:pt idx="37">
                  <c:v>0.22089950693291127</c:v>
                </c:pt>
                <c:pt idx="38">
                  <c:v>0.79834397629015874</c:v>
                </c:pt>
                <c:pt idx="39">
                  <c:v>0.56720176266918299</c:v>
                </c:pt>
                <c:pt idx="40">
                  <c:v>0.45963307952463772</c:v>
                </c:pt>
                <c:pt idx="41">
                  <c:v>0.22632504395881173</c:v>
                </c:pt>
                <c:pt idx="42">
                  <c:v>0</c:v>
                </c:pt>
                <c:pt idx="43">
                  <c:v>0</c:v>
                </c:pt>
                <c:pt idx="44">
                  <c:v>0.38760533441303746</c:v>
                </c:pt>
                <c:pt idx="45">
                  <c:v>0.51569585699818843</c:v>
                </c:pt>
                <c:pt idx="46">
                  <c:v>0.74138944398732887</c:v>
                </c:pt>
                <c:pt idx="47">
                  <c:v>0.86263164467386855</c:v>
                </c:pt>
                <c:pt idx="48">
                  <c:v>0</c:v>
                </c:pt>
                <c:pt idx="49">
                  <c:v>0.16996793057913598</c:v>
                </c:pt>
                <c:pt idx="50">
                  <c:v>0.56889982364082547</c:v>
                </c:pt>
                <c:pt idx="51">
                  <c:v>0.67806672798727552</c:v>
                </c:pt>
                <c:pt idx="52">
                  <c:v>0.79380283802273577</c:v>
                </c:pt>
                <c:pt idx="53">
                  <c:v>0.86994817631871357</c:v>
                </c:pt>
                <c:pt idx="54">
                  <c:v>0.68975381763969623</c:v>
                </c:pt>
                <c:pt idx="55">
                  <c:v>0.40567312021613317</c:v>
                </c:pt>
                <c:pt idx="56">
                  <c:v>0.20380004523864279</c:v>
                </c:pt>
                <c:pt idx="57">
                  <c:v>0</c:v>
                </c:pt>
                <c:pt idx="58">
                  <c:v>0.47189245810055658</c:v>
                </c:pt>
                <c:pt idx="59">
                  <c:v>0.20380004523864279</c:v>
                </c:pt>
                <c:pt idx="6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Line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'Fluid Compsotions'!$A$77:$A$83</c:f>
              <c:numCache>
                <c:formatCode>General</c:formatCode>
                <c:ptCount val="7"/>
                <c:pt idx="0">
                  <c:v>0</c:v>
                </c:pt>
                <c:pt idx="1">
                  <c:v>1.0000000000000001E-5</c:v>
                </c:pt>
                <c:pt idx="2">
                  <c:v>1E-4</c:v>
                </c:pt>
                <c:pt idx="3">
                  <c:v>1E-3</c:v>
                </c:pt>
                <c:pt idx="4">
                  <c:v>0.01</c:v>
                </c:pt>
                <c:pt idx="5">
                  <c:v>0.1</c:v>
                </c:pt>
                <c:pt idx="6">
                  <c:v>1</c:v>
                </c:pt>
              </c:numCache>
            </c:numRef>
          </c:xVal>
          <c:yVal>
            <c:numRef>
              <c:f>'Fluid Compsotions'!$B$77:$B$83</c:f>
              <c:numCache>
                <c:formatCode>General</c:formatCode>
                <c:ptCount val="7"/>
                <c:pt idx="0">
                  <c:v>0</c:v>
                </c:pt>
                <c:pt idx="1">
                  <c:v>1.0000000000000001E-5</c:v>
                </c:pt>
                <c:pt idx="2">
                  <c:v>1E-4</c:v>
                </c:pt>
                <c:pt idx="3">
                  <c:v>1E-3</c:v>
                </c:pt>
                <c:pt idx="4">
                  <c:v>0.01</c:v>
                </c:pt>
                <c:pt idx="5">
                  <c:v>0.1</c:v>
                </c:pt>
                <c:pt idx="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4969760"/>
        <c:axId val="1624958336"/>
      </c:scatterChart>
      <c:valAx>
        <c:axId val="162496976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XCO2 fluid (mass balance)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624958336"/>
        <c:crosses val="autoZero"/>
        <c:crossBetween val="midCat"/>
      </c:valAx>
      <c:valAx>
        <c:axId val="1624958336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XCO2 fluid (weight-loss</a:t>
                </a:r>
                <a:r>
                  <a:rPr lang="en-US" baseline="0"/>
                  <a:t> method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624969760"/>
        <c:crosses val="autoZero"/>
        <c:crossBetween val="midCat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809722804373203"/>
          <c:y val="2.8307905655631498E-2"/>
          <c:w val="0.590069510580298"/>
          <c:h val="0.86641583336090999"/>
        </c:manualLayout>
      </c:layout>
      <c:scatterChart>
        <c:scatterStyle val="lineMarker"/>
        <c:varyColors val="0"/>
        <c:ser>
          <c:idx val="0"/>
          <c:order val="0"/>
          <c:tx>
            <c:v>AW Experiments</c:v>
          </c:tx>
          <c:spPr>
            <a:ln w="28575">
              <a:noFill/>
            </a:ln>
          </c:spPr>
          <c:trendline>
            <c:spPr>
              <a:ln>
                <a:noFill/>
              </a:ln>
            </c:spPr>
            <c:trendlineType val="linear"/>
            <c:dispRSqr val="1"/>
            <c:dispEq val="0"/>
            <c:trendlineLbl>
              <c:layout>
                <c:manualLayout>
                  <c:x val="5.5395041262941598E-2"/>
                  <c:y val="0.5334951450484399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>
                      <a:solidFill>
                        <a:schemeClr val="tx2"/>
                      </a:solidFill>
                    </a:defRPr>
                  </a:pPr>
                  <a:endParaRPr lang="fr-FR"/>
                </a:p>
              </c:txPr>
            </c:trendlineLbl>
          </c:trendline>
          <c:trendline>
            <c:spPr>
              <a:ln w="15875">
                <a:solidFill>
                  <a:schemeClr val="accent1"/>
                </a:solidFill>
                <a:prstDash val="lgDash"/>
              </a:ln>
            </c:spPr>
            <c:trendlineType val="linear"/>
            <c:forward val="0.5"/>
            <c:backward val="1"/>
            <c:dispRSqr val="0"/>
            <c:dispEq val="1"/>
            <c:trendlineLbl>
              <c:layout>
                <c:manualLayout>
                  <c:x val="2.30503811174547E-2"/>
                  <c:y val="0.56615811311262998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chemeClr val="tx2"/>
                        </a:solidFill>
                      </a:defRPr>
                    </a:pPr>
                    <a:r>
                      <a:rPr lang="en-US" sz="1200" baseline="0">
                        <a:solidFill>
                          <a:schemeClr val="tx2"/>
                        </a:solidFill>
                      </a:rPr>
                      <a:t>x = 0.93y - 0.196</a:t>
                    </a:r>
                    <a:endParaRPr lang="en-US" sz="1200">
                      <a:solidFill>
                        <a:schemeClr val="tx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'Dissolved Volatiles'!$P$3:$P$32</c:f>
              <c:numCache>
                <c:formatCode>0.00</c:formatCode>
                <c:ptCount val="30"/>
                <c:pt idx="0">
                  <c:v>1.4054317175133901</c:v>
                </c:pt>
                <c:pt idx="1">
                  <c:v>5.5700373315455352</c:v>
                </c:pt>
                <c:pt idx="2">
                  <c:v>4.2708312659991581</c:v>
                </c:pt>
                <c:pt idx="3">
                  <c:v>1.8600856820490952</c:v>
                </c:pt>
                <c:pt idx="4">
                  <c:v>3.1404197769142503</c:v>
                </c:pt>
                <c:pt idx="6">
                  <c:v>1.1019751680274255</c:v>
                </c:pt>
                <c:pt idx="7">
                  <c:v>1.7917251415339657</c:v>
                </c:pt>
                <c:pt idx="8">
                  <c:v>3.5965593229553132</c:v>
                </c:pt>
                <c:pt idx="9">
                  <c:v>2.3809825778341684</c:v>
                </c:pt>
                <c:pt idx="10">
                  <c:v>5.5494030730959505</c:v>
                </c:pt>
                <c:pt idx="11">
                  <c:v>1.1355329138813131</c:v>
                </c:pt>
                <c:pt idx="12">
                  <c:v>2.2532215806724034</c:v>
                </c:pt>
                <c:pt idx="13">
                  <c:v>3.5917278283808085</c:v>
                </c:pt>
                <c:pt idx="14">
                  <c:v>3.0346811077285576</c:v>
                </c:pt>
                <c:pt idx="15">
                  <c:v>6.649924306316259</c:v>
                </c:pt>
                <c:pt idx="16">
                  <c:v>1.0091020974913958</c:v>
                </c:pt>
                <c:pt idx="17">
                  <c:v>2.9415733324744759</c:v>
                </c:pt>
                <c:pt idx="18">
                  <c:v>4.5568265487934987</c:v>
                </c:pt>
                <c:pt idx="20">
                  <c:v>7.8288302614668499</c:v>
                </c:pt>
                <c:pt idx="21">
                  <c:v>3.6556650194010212</c:v>
                </c:pt>
                <c:pt idx="22">
                  <c:v>2.0825935242737601</c:v>
                </c:pt>
                <c:pt idx="23">
                  <c:v>1.78</c:v>
                </c:pt>
                <c:pt idx="24">
                  <c:v>0.68253211197780617</c:v>
                </c:pt>
                <c:pt idx="27">
                  <c:v>4.0359583904533824</c:v>
                </c:pt>
                <c:pt idx="28">
                  <c:v>4.7611857903894972</c:v>
                </c:pt>
                <c:pt idx="29">
                  <c:v>5.5533005018335508</c:v>
                </c:pt>
              </c:numCache>
            </c:numRef>
          </c:xVal>
          <c:yVal>
            <c:numRef>
              <c:f>'Dissolved Volatiles'!$K$3:$K$32</c:f>
              <c:numCache>
                <c:formatCode>0.00</c:formatCode>
                <c:ptCount val="30"/>
                <c:pt idx="0">
                  <c:v>1.6591251885369502</c:v>
                </c:pt>
                <c:pt idx="1">
                  <c:v>5.7182705718270572</c:v>
                </c:pt>
                <c:pt idx="2">
                  <c:v>5.5975794251133522</c:v>
                </c:pt>
                <c:pt idx="3">
                  <c:v>5.2482269503546695</c:v>
                </c:pt>
                <c:pt idx="4">
                  <c:v>3.6599763872491144</c:v>
                </c:pt>
                <c:pt idx="5">
                  <c:v>4.5123726346433761</c:v>
                </c:pt>
                <c:pt idx="6">
                  <c:v>0.19828155981484891</c:v>
                </c:pt>
                <c:pt idx="7">
                  <c:v>1.4065639651709279</c:v>
                </c:pt>
                <c:pt idx="8">
                  <c:v>2.9288702928869998</c:v>
                </c:pt>
                <c:pt idx="9">
                  <c:v>5.5634807417973589</c:v>
                </c:pt>
                <c:pt idx="10">
                  <c:v>7.0202808112325741</c:v>
                </c:pt>
                <c:pt idx="11">
                  <c:v>0.38138825324185061</c:v>
                </c:pt>
                <c:pt idx="12">
                  <c:v>2.2280471821756227</c:v>
                </c:pt>
                <c:pt idx="13">
                  <c:v>4.0673211781206167</c:v>
                </c:pt>
                <c:pt idx="14">
                  <c:v>5.1851851851851851</c:v>
                </c:pt>
                <c:pt idx="15">
                  <c:v>7.4809160305343507</c:v>
                </c:pt>
                <c:pt idx="16">
                  <c:v>0.6785934608266504</c:v>
                </c:pt>
                <c:pt idx="17">
                  <c:v>4.0218132242670945</c:v>
                </c:pt>
                <c:pt idx="18">
                  <c:v>6.2839410395655539</c:v>
                </c:pt>
                <c:pt idx="19">
                  <c:v>0.39154267815197041</c:v>
                </c:pt>
                <c:pt idx="20">
                  <c:v>6.8368277119416385</c:v>
                </c:pt>
                <c:pt idx="21">
                  <c:v>3.0674846625765517</c:v>
                </c:pt>
                <c:pt idx="22">
                  <c:v>2.4431339511373751</c:v>
                </c:pt>
                <c:pt idx="23">
                  <c:v>0.56956875508546978</c:v>
                </c:pt>
                <c:pt idx="24">
                  <c:v>7.7579519006895414E-2</c:v>
                </c:pt>
                <c:pt idx="25">
                  <c:v>0.23382696804354336</c:v>
                </c:pt>
                <c:pt idx="26">
                  <c:v>0.57049714751429703</c:v>
                </c:pt>
                <c:pt idx="27">
                  <c:v>2.0644095788605359</c:v>
                </c:pt>
                <c:pt idx="28">
                  <c:v>4.6968403074294356</c:v>
                </c:pt>
                <c:pt idx="29">
                  <c:v>8.0689029918402859</c:v>
                </c:pt>
              </c:numCache>
            </c:numRef>
          </c:yVal>
          <c:smooth val="0"/>
        </c:ser>
        <c:ser>
          <c:idx val="1"/>
          <c:order val="1"/>
          <c:tx>
            <c:v>1:1 Line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trendline>
            <c:spPr>
              <a:ln w="9525"/>
            </c:spPr>
            <c:trendlineType val="linear"/>
            <c:dispRSqr val="0"/>
            <c:dispEq val="0"/>
          </c:trendline>
          <c:xVal>
            <c:numRef>
              <c:f>'Fluid Compsotions'!$A$77:$A$92</c:f>
              <c:numCache>
                <c:formatCode>General</c:formatCode>
                <c:ptCount val="16"/>
                <c:pt idx="0">
                  <c:v>0</c:v>
                </c:pt>
                <c:pt idx="1">
                  <c:v>1.0000000000000001E-5</c:v>
                </c:pt>
                <c:pt idx="2">
                  <c:v>1E-4</c:v>
                </c:pt>
                <c:pt idx="3">
                  <c:v>1E-3</c:v>
                </c:pt>
                <c:pt idx="4">
                  <c:v>0.01</c:v>
                </c:pt>
                <c:pt idx="5">
                  <c:v>0.1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</c:numCache>
            </c:numRef>
          </c:xVal>
          <c:yVal>
            <c:numRef>
              <c:f>'Fluid Compsotions'!$B$77:$B$92</c:f>
              <c:numCache>
                <c:formatCode>General</c:formatCode>
                <c:ptCount val="16"/>
                <c:pt idx="0">
                  <c:v>0</c:v>
                </c:pt>
                <c:pt idx="1">
                  <c:v>1.0000000000000001E-5</c:v>
                </c:pt>
                <c:pt idx="2">
                  <c:v>1E-4</c:v>
                </c:pt>
                <c:pt idx="3">
                  <c:v>1E-3</c:v>
                </c:pt>
                <c:pt idx="4">
                  <c:v>0.01</c:v>
                </c:pt>
                <c:pt idx="5">
                  <c:v>0.1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KI Experiments</c:v>
          </c:tx>
          <c:spPr>
            <a:ln w="28575">
              <a:noFill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trendline>
            <c:spPr>
              <a:ln>
                <a:noFill/>
              </a:ln>
            </c:spPr>
            <c:trendlineType val="linear"/>
            <c:dispRSqr val="1"/>
            <c:dispEq val="0"/>
            <c:trendlineLbl>
              <c:layout>
                <c:manualLayout>
                  <c:x val="0.35178147539886201"/>
                  <c:y val="7.4905015917410195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>
                      <a:solidFill>
                        <a:schemeClr val="accent2"/>
                      </a:solidFill>
                    </a:defRPr>
                  </a:pPr>
                  <a:endParaRPr lang="fr-FR"/>
                </a:p>
              </c:txPr>
            </c:trendlineLbl>
          </c:trendline>
          <c:trendline>
            <c:spPr>
              <a:ln w="15875">
                <a:solidFill>
                  <a:schemeClr val="accent2"/>
                </a:solidFill>
                <a:prstDash val="sysDash"/>
              </a:ln>
            </c:spPr>
            <c:trendlineType val="linear"/>
            <c:forward val="6"/>
            <c:backward val="1"/>
            <c:dispRSqr val="0"/>
            <c:dispEq val="1"/>
            <c:trendlineLbl>
              <c:layout>
                <c:manualLayout>
                  <c:x val="-4.0400269542722002E-2"/>
                  <c:y val="0.65543689248808301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chemeClr val="accent2"/>
                        </a:solidFill>
                      </a:defRPr>
                    </a:pPr>
                    <a:r>
                      <a:rPr lang="en-US" sz="1200" baseline="0">
                        <a:solidFill>
                          <a:schemeClr val="accent2"/>
                        </a:solidFill>
                      </a:rPr>
                      <a:t>x = 0.95y + 0.514</a:t>
                    </a:r>
                    <a:endParaRPr lang="en-US" sz="1200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('Dissolved Volatiles'!$P$37:$P$46,'Dissolved Volatiles'!$P$48:$P$59,'Dissolved Volatiles'!$P$61:$P$63)</c:f>
              <c:numCache>
                <c:formatCode>0.00</c:formatCode>
                <c:ptCount val="25"/>
                <c:pt idx="0">
                  <c:v>0.72589949377470253</c:v>
                </c:pt>
                <c:pt idx="1">
                  <c:v>1.5160282750688125</c:v>
                </c:pt>
                <c:pt idx="5">
                  <c:v>1.908399236587121</c:v>
                </c:pt>
                <c:pt idx="6">
                  <c:v>3.3265649461020952</c:v>
                </c:pt>
                <c:pt idx="10">
                  <c:v>2.7898148619644725</c:v>
                </c:pt>
                <c:pt idx="12">
                  <c:v>1.1101264984780219</c:v>
                </c:pt>
                <c:pt idx="21">
                  <c:v>3.050868739897679</c:v>
                </c:pt>
              </c:numCache>
            </c:numRef>
          </c:xVal>
          <c:yVal>
            <c:numRef>
              <c:f>('Dissolved Volatiles'!$K$37:$K$46,'Dissolved Volatiles'!$K$48:$K$59,'Dissolved Volatiles'!$K$61:$K$63)</c:f>
              <c:numCache>
                <c:formatCode>0.00</c:formatCode>
                <c:ptCount val="25"/>
                <c:pt idx="0">
                  <c:v>0.19243104554207063</c:v>
                </c:pt>
                <c:pt idx="1">
                  <c:v>1.6266460108444099</c:v>
                </c:pt>
                <c:pt idx="2">
                  <c:v>1.7519271198317972</c:v>
                </c:pt>
                <c:pt idx="3">
                  <c:v>3.1922791388271157</c:v>
                </c:pt>
                <c:pt idx="4">
                  <c:v>-6.5316786414022027E-2</c:v>
                </c:pt>
                <c:pt idx="5">
                  <c:v>0.90684253915910806</c:v>
                </c:pt>
                <c:pt idx="6">
                  <c:v>2.4555461473328237</c:v>
                </c:pt>
                <c:pt idx="7">
                  <c:v>3.5040431266846555</c:v>
                </c:pt>
                <c:pt idx="8">
                  <c:v>3.7442922374430152</c:v>
                </c:pt>
                <c:pt idx="9">
                  <c:v>5.7851239669421499</c:v>
                </c:pt>
                <c:pt idx="10">
                  <c:v>2.8854080791426173</c:v>
                </c:pt>
                <c:pt idx="11">
                  <c:v>1.7004048582996845</c:v>
                </c:pt>
                <c:pt idx="12">
                  <c:v>0.3958828186857215</c:v>
                </c:pt>
                <c:pt idx="13">
                  <c:v>5.8495821727020036</c:v>
                </c:pt>
                <c:pt idx="14">
                  <c:v>3.0355594102342418</c:v>
                </c:pt>
                <c:pt idx="15">
                  <c:v>3.2418952618453618</c:v>
                </c:pt>
                <c:pt idx="16">
                  <c:v>1.3545816733067184</c:v>
                </c:pt>
                <c:pt idx="17">
                  <c:v>7.917656373704525E-2</c:v>
                </c:pt>
                <c:pt idx="18">
                  <c:v>0.39401103230878171</c:v>
                </c:pt>
                <c:pt idx="19">
                  <c:v>1.3417521704813977</c:v>
                </c:pt>
                <c:pt idx="20">
                  <c:v>2.3215821152193539</c:v>
                </c:pt>
                <c:pt idx="21">
                  <c:v>2.907488986784216</c:v>
                </c:pt>
                <c:pt idx="22">
                  <c:v>3.0204081632653197</c:v>
                </c:pt>
                <c:pt idx="23">
                  <c:v>3.2090199479619135</c:v>
                </c:pt>
                <c:pt idx="24">
                  <c:v>3.7320574162678763</c:v>
                </c:pt>
              </c:numCache>
            </c:numRef>
          </c:yVal>
          <c:smooth val="0"/>
        </c:ser>
        <c:ser>
          <c:idx val="3"/>
          <c:order val="3"/>
          <c:tx>
            <c:v>KI outliers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strRef>
              <c:f>('Dissolved Volatiles'!$P$47,'Dissolved Volatiles'!$P$60)</c:f>
              <c:strCache>
                <c:ptCount val="2"/>
                <c:pt idx="0">
                  <c:v>1,65</c:v>
                </c:pt>
                <c:pt idx="1">
                  <c:v>nd</c:v>
                </c:pt>
              </c:strCache>
            </c:strRef>
          </c:xVal>
          <c:yVal>
            <c:numRef>
              <c:f>('Dissolved Volatiles'!$K$47,'Dissolved Volatiles'!$K$60)</c:f>
              <c:numCache>
                <c:formatCode>0.00</c:formatCode>
                <c:ptCount val="2"/>
                <c:pt idx="0">
                  <c:v>5.2450558899398105</c:v>
                </c:pt>
                <c:pt idx="1">
                  <c:v>4.3000914913083266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4968128"/>
        <c:axId val="1624967040"/>
      </c:scatterChart>
      <c:valAx>
        <c:axId val="1624968128"/>
        <c:scaling>
          <c:orientation val="minMax"/>
          <c:max val="9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 i="0" u="none" strike="noStrike" baseline="0">
                    <a:effectLst/>
                  </a:rPr>
                  <a:t>Dissolved H</a:t>
                </a:r>
                <a:r>
                  <a:rPr lang="en-US" sz="1400" b="0" i="0" u="none" strike="noStrike" baseline="-25000">
                    <a:effectLst/>
                  </a:rPr>
                  <a:t>2</a:t>
                </a:r>
                <a:r>
                  <a:rPr lang="en-US" sz="1400" b="0" i="0" u="none" strike="noStrike" baseline="0">
                    <a:effectLst/>
                  </a:rPr>
                  <a:t>O, wt% (FTIR)</a:t>
                </a:r>
                <a:r>
                  <a:rPr lang="en-US" sz="1400" b="0" i="0" u="none" strike="noStrike" baseline="0"/>
                  <a:t> </a:t>
                </a:r>
                <a:endParaRPr lang="en-US" sz="1400" b="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0"/>
            </a:pPr>
            <a:endParaRPr lang="fr-FR"/>
          </a:p>
        </c:txPr>
        <c:crossAx val="1624967040"/>
        <c:crosses val="autoZero"/>
        <c:crossBetween val="midCat"/>
      </c:valAx>
      <c:valAx>
        <c:axId val="1624967040"/>
        <c:scaling>
          <c:orientation val="minMax"/>
          <c:max val="9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effectLst/>
                  </a:rPr>
                  <a:t>Dissolved H</a:t>
                </a:r>
                <a:r>
                  <a:rPr lang="en-US" sz="1400" b="0" i="0" baseline="-25000">
                    <a:effectLst/>
                  </a:rPr>
                  <a:t>2</a:t>
                </a:r>
                <a:r>
                  <a:rPr lang="en-US" sz="1400" b="0" i="0" baseline="0">
                    <a:effectLst/>
                  </a:rPr>
                  <a:t>O, wt% (Mass balance)</a:t>
                </a:r>
                <a:endParaRPr lang="en-US" sz="1400" b="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 sz="1400" b="0"/>
              </a:p>
            </c:rich>
          </c:tx>
          <c:layout>
            <c:manualLayout>
              <c:xMode val="edge"/>
              <c:yMode val="edge"/>
              <c:x val="0.31400001072946099"/>
              <c:y val="0.2505587425048779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624968128"/>
        <c:crosses val="autoZero"/>
        <c:crossBetween val="midCat"/>
      </c:valAx>
      <c:spPr>
        <a:ln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80355604662277402"/>
          <c:y val="0.75241298748193897"/>
          <c:w val="0.12831187557743701"/>
          <c:h val="8.7462341140954303E-2"/>
        </c:manualLayout>
      </c:layout>
      <c:overlay val="1"/>
      <c:spPr>
        <a:ln>
          <a:solidFill>
            <a:srgbClr val="000000"/>
          </a:solidFill>
        </a:ln>
      </c:sp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536417161316499"/>
          <c:y val="2.83155862123847E-2"/>
          <c:w val="0.58937863945636904"/>
          <c:h val="0.866379589041542"/>
        </c:manualLayout>
      </c:layout>
      <c:scatterChart>
        <c:scatterStyle val="lineMarker"/>
        <c:varyColors val="0"/>
        <c:ser>
          <c:idx val="0"/>
          <c:order val="0"/>
          <c:tx>
            <c:v>AW Experiments</c:v>
          </c:tx>
          <c:spPr>
            <a:ln w="28575">
              <a:noFill/>
            </a:ln>
          </c:spPr>
          <c:trendline>
            <c:spPr>
              <a:ln>
                <a:noFill/>
              </a:ln>
            </c:spPr>
            <c:trendlineType val="linear"/>
            <c:dispRSqr val="1"/>
            <c:dispEq val="0"/>
            <c:trendlineLbl>
              <c:layout>
                <c:manualLayout>
                  <c:x val="0.15237620264544399"/>
                  <c:y val="0.4840480003210589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fr-FR"/>
                </a:p>
              </c:txPr>
            </c:trendlineLbl>
          </c:trendline>
          <c:xVal>
            <c:numRef>
              <c:f>'Dissolved Volatiles'!$P$3:$P$32</c:f>
              <c:numCache>
                <c:formatCode>0.00</c:formatCode>
                <c:ptCount val="30"/>
                <c:pt idx="0">
                  <c:v>1.4054317175133901</c:v>
                </c:pt>
                <c:pt idx="1">
                  <c:v>5.5700373315455352</c:v>
                </c:pt>
                <c:pt idx="2">
                  <c:v>4.2708312659991581</c:v>
                </c:pt>
                <c:pt idx="3">
                  <c:v>1.8600856820490952</c:v>
                </c:pt>
                <c:pt idx="4">
                  <c:v>3.1404197769142503</c:v>
                </c:pt>
                <c:pt idx="6">
                  <c:v>1.1019751680274255</c:v>
                </c:pt>
                <c:pt idx="7">
                  <c:v>1.7917251415339657</c:v>
                </c:pt>
                <c:pt idx="8">
                  <c:v>3.5965593229553132</c:v>
                </c:pt>
                <c:pt idx="9">
                  <c:v>2.3809825778341684</c:v>
                </c:pt>
                <c:pt idx="10">
                  <c:v>5.5494030730959505</c:v>
                </c:pt>
                <c:pt idx="11">
                  <c:v>1.1355329138813131</c:v>
                </c:pt>
                <c:pt idx="12">
                  <c:v>2.2532215806724034</c:v>
                </c:pt>
                <c:pt idx="13">
                  <c:v>3.5917278283808085</c:v>
                </c:pt>
                <c:pt idx="14">
                  <c:v>3.0346811077285576</c:v>
                </c:pt>
                <c:pt idx="15">
                  <c:v>6.649924306316259</c:v>
                </c:pt>
                <c:pt idx="16">
                  <c:v>1.0091020974913958</c:v>
                </c:pt>
                <c:pt idx="17">
                  <c:v>2.9415733324744759</c:v>
                </c:pt>
                <c:pt idx="18">
                  <c:v>4.5568265487934987</c:v>
                </c:pt>
                <c:pt idx="20">
                  <c:v>7.8288302614668499</c:v>
                </c:pt>
                <c:pt idx="21">
                  <c:v>3.6556650194010212</c:v>
                </c:pt>
                <c:pt idx="22">
                  <c:v>2.0825935242737601</c:v>
                </c:pt>
                <c:pt idx="23">
                  <c:v>1.78</c:v>
                </c:pt>
                <c:pt idx="24">
                  <c:v>0.68253211197780617</c:v>
                </c:pt>
                <c:pt idx="27">
                  <c:v>4.0359583904533824</c:v>
                </c:pt>
                <c:pt idx="28">
                  <c:v>4.7611857903894972</c:v>
                </c:pt>
                <c:pt idx="29">
                  <c:v>5.5533005018335508</c:v>
                </c:pt>
              </c:numCache>
            </c:numRef>
          </c:xVal>
          <c:yVal>
            <c:numRef>
              <c:f>'Dissolved Volatiles'!$U$3:$U$83</c:f>
              <c:numCache>
                <c:formatCode>General</c:formatCode>
                <c:ptCount val="81"/>
                <c:pt idx="0">
                  <c:v>0.79999999999999716</c:v>
                </c:pt>
                <c:pt idx="1">
                  <c:v>5</c:v>
                </c:pt>
                <c:pt idx="2">
                  <c:v>3.9200000000000017</c:v>
                </c:pt>
                <c:pt idx="3">
                  <c:v>2.9200000000000017</c:v>
                </c:pt>
                <c:pt idx="4">
                  <c:v>2.480000000000004</c:v>
                </c:pt>
                <c:pt idx="5">
                  <c:v>3.5900000000000034</c:v>
                </c:pt>
                <c:pt idx="6">
                  <c:v>3.3700000000000045</c:v>
                </c:pt>
                <c:pt idx="7">
                  <c:v>5.2399999999999949</c:v>
                </c:pt>
                <c:pt idx="8">
                  <c:v>5.7600000000000051</c:v>
                </c:pt>
                <c:pt idx="9">
                  <c:v>7.8900000000000006</c:v>
                </c:pt>
                <c:pt idx="10">
                  <c:v>9.1700000000000017</c:v>
                </c:pt>
                <c:pt idx="11">
                  <c:v>6.6500000000000057</c:v>
                </c:pt>
                <c:pt idx="12">
                  <c:v>4.5499999999999972</c:v>
                </c:pt>
                <c:pt idx="13">
                  <c:v>3.5100000000000051</c:v>
                </c:pt>
                <c:pt idx="14">
                  <c:v>6.4699999999999989</c:v>
                </c:pt>
                <c:pt idx="16">
                  <c:v>5.1599999999999966</c:v>
                </c:pt>
                <c:pt idx="17">
                  <c:v>5.3400000000000034</c:v>
                </c:pt>
                <c:pt idx="18">
                  <c:v>9.5900000000000034</c:v>
                </c:pt>
                <c:pt idx="19">
                  <c:v>3.1400000000000006</c:v>
                </c:pt>
                <c:pt idx="20">
                  <c:v>7.5799999999999983</c:v>
                </c:pt>
                <c:pt idx="21">
                  <c:v>5.75</c:v>
                </c:pt>
                <c:pt idx="22">
                  <c:v>4.2600000000000051</c:v>
                </c:pt>
                <c:pt idx="23">
                  <c:v>4.2099999999999937</c:v>
                </c:pt>
                <c:pt idx="24">
                  <c:v>2.1200000000000045</c:v>
                </c:pt>
                <c:pt idx="25">
                  <c:v>1.4500000000000028</c:v>
                </c:pt>
                <c:pt idx="26">
                  <c:v>3.2600000000000051</c:v>
                </c:pt>
                <c:pt idx="27">
                  <c:v>7.0600000000000023</c:v>
                </c:pt>
                <c:pt idx="28">
                  <c:v>6.2600000000000051</c:v>
                </c:pt>
                <c:pt idx="29">
                  <c:v>7.7399999999999949</c:v>
                </c:pt>
                <c:pt idx="31">
                  <c:v>9.1299999999999955</c:v>
                </c:pt>
                <c:pt idx="32">
                  <c:v>3.1200000000000045</c:v>
                </c:pt>
                <c:pt idx="33">
                  <c:v>1.7600000000000051</c:v>
                </c:pt>
                <c:pt idx="34">
                  <c:v>5.3299999999999983</c:v>
                </c:pt>
                <c:pt idx="35">
                  <c:v>7.9500000000000028</c:v>
                </c:pt>
                <c:pt idx="36">
                  <c:v>7.0100000000000051</c:v>
                </c:pt>
                <c:pt idx="37">
                  <c:v>8.4399999999999977</c:v>
                </c:pt>
                <c:pt idx="38">
                  <c:v>3.4300000000000068</c:v>
                </c:pt>
                <c:pt idx="39">
                  <c:v>6.2999999999999972</c:v>
                </c:pt>
                <c:pt idx="40">
                  <c:v>5.7999999999999972</c:v>
                </c:pt>
                <c:pt idx="41">
                  <c:v>4.8400000000000034</c:v>
                </c:pt>
                <c:pt idx="44">
                  <c:v>7.4500000000000028</c:v>
                </c:pt>
                <c:pt idx="45">
                  <c:v>4.7199999999999989</c:v>
                </c:pt>
                <c:pt idx="46">
                  <c:v>3.980000000000004</c:v>
                </c:pt>
                <c:pt idx="47">
                  <c:v>2.7900000000000063</c:v>
                </c:pt>
                <c:pt idx="50">
                  <c:v>3.3499999999999943</c:v>
                </c:pt>
                <c:pt idx="51">
                  <c:v>7.7600000000000051</c:v>
                </c:pt>
                <c:pt idx="52">
                  <c:v>4.0100000000000051</c:v>
                </c:pt>
                <c:pt idx="55">
                  <c:v>7.9399999999999977</c:v>
                </c:pt>
                <c:pt idx="56">
                  <c:v>8.5400000000000063</c:v>
                </c:pt>
                <c:pt idx="57">
                  <c:v>10.189999999999998</c:v>
                </c:pt>
                <c:pt idx="58">
                  <c:v>5.9599999999999937</c:v>
                </c:pt>
              </c:numCache>
            </c:numRef>
          </c:yVal>
          <c:smooth val="0"/>
        </c:ser>
        <c:ser>
          <c:idx val="1"/>
          <c:order val="1"/>
          <c:tx>
            <c:v>1:1 Line</c:v>
          </c:tx>
          <c:spPr>
            <a:ln w="28575">
              <a:noFill/>
            </a:ln>
          </c:spPr>
          <c:marker>
            <c:symbol val="none"/>
          </c:marker>
          <c:trendline>
            <c:trendlineType val="linear"/>
            <c:forward val="1"/>
            <c:dispRSqr val="0"/>
            <c:dispEq val="0"/>
          </c:trendline>
          <c:xVal>
            <c:numRef>
              <c:f>'Fluid Compsotions'!$A$77:$A$92</c:f>
              <c:numCache>
                <c:formatCode>General</c:formatCode>
                <c:ptCount val="16"/>
                <c:pt idx="0">
                  <c:v>0</c:v>
                </c:pt>
                <c:pt idx="1">
                  <c:v>1.0000000000000001E-5</c:v>
                </c:pt>
                <c:pt idx="2">
                  <c:v>1E-4</c:v>
                </c:pt>
                <c:pt idx="3">
                  <c:v>1E-3</c:v>
                </c:pt>
                <c:pt idx="4">
                  <c:v>0.01</c:v>
                </c:pt>
                <c:pt idx="5">
                  <c:v>0.1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</c:numCache>
            </c:numRef>
          </c:xVal>
          <c:yVal>
            <c:numRef>
              <c:f>'Fluid Compsotions'!$B$77:$B$92</c:f>
              <c:numCache>
                <c:formatCode>General</c:formatCode>
                <c:ptCount val="16"/>
                <c:pt idx="0">
                  <c:v>0</c:v>
                </c:pt>
                <c:pt idx="1">
                  <c:v>1.0000000000000001E-5</c:v>
                </c:pt>
                <c:pt idx="2">
                  <c:v>1E-4</c:v>
                </c:pt>
                <c:pt idx="3">
                  <c:v>1E-3</c:v>
                </c:pt>
                <c:pt idx="4">
                  <c:v>0.01</c:v>
                </c:pt>
                <c:pt idx="5">
                  <c:v>0.1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KI Experiments</c:v>
          </c:tx>
          <c:spPr>
            <a:ln w="28575">
              <a:noFill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trendline>
            <c:spPr>
              <a:ln>
                <a:noFill/>
              </a:ln>
            </c:spPr>
            <c:trendlineType val="linear"/>
            <c:dispRSqr val="1"/>
            <c:dispEq val="0"/>
            <c:trendlineLbl>
              <c:layout>
                <c:manualLayout>
                  <c:x val="0.39360695486575498"/>
                  <c:y val="0.34076118675749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>
                      <a:solidFill>
                        <a:schemeClr val="accent2"/>
                      </a:solidFill>
                    </a:defRPr>
                  </a:pPr>
                  <a:endParaRPr lang="fr-FR"/>
                </a:p>
              </c:txPr>
            </c:trendlineLbl>
          </c:trendline>
          <c:xVal>
            <c:strRef>
              <c:f>'Dissolved Volatiles'!$P$34:$P$63</c:f>
              <c:strCache>
                <c:ptCount val="27"/>
                <c:pt idx="1">
                  <c:v>2,90</c:v>
                </c:pt>
                <c:pt idx="3">
                  <c:v>0,73</c:v>
                </c:pt>
                <c:pt idx="4">
                  <c:v>1,52</c:v>
                </c:pt>
                <c:pt idx="8">
                  <c:v>1,91</c:v>
                </c:pt>
                <c:pt idx="9">
                  <c:v>3,33</c:v>
                </c:pt>
                <c:pt idx="13">
                  <c:v>1,65</c:v>
                </c:pt>
                <c:pt idx="14">
                  <c:v>2,79</c:v>
                </c:pt>
                <c:pt idx="16">
                  <c:v>1,11</c:v>
                </c:pt>
                <c:pt idx="25">
                  <c:v>3,05</c:v>
                </c:pt>
                <c:pt idx="26">
                  <c:v>nd</c:v>
                </c:pt>
              </c:strCache>
            </c:strRef>
          </c:xVal>
          <c:yVal>
            <c:numRef>
              <c:f>'Dissolved Volatiles'!$U$34:$U$63</c:f>
              <c:numCache>
                <c:formatCode>General</c:formatCode>
                <c:ptCount val="30"/>
                <c:pt idx="0">
                  <c:v>9.1299999999999955</c:v>
                </c:pt>
                <c:pt idx="1">
                  <c:v>3.1200000000000045</c:v>
                </c:pt>
                <c:pt idx="2">
                  <c:v>1.7600000000000051</c:v>
                </c:pt>
                <c:pt idx="3">
                  <c:v>5.3299999999999983</c:v>
                </c:pt>
                <c:pt idx="4">
                  <c:v>7.9500000000000028</c:v>
                </c:pt>
                <c:pt idx="5">
                  <c:v>7.0100000000000051</c:v>
                </c:pt>
                <c:pt idx="6">
                  <c:v>8.4399999999999977</c:v>
                </c:pt>
                <c:pt idx="7">
                  <c:v>3.4300000000000068</c:v>
                </c:pt>
                <c:pt idx="8">
                  <c:v>6.2999999999999972</c:v>
                </c:pt>
                <c:pt idx="9">
                  <c:v>5.7999999999999972</c:v>
                </c:pt>
                <c:pt idx="10">
                  <c:v>4.8400000000000034</c:v>
                </c:pt>
                <c:pt idx="13">
                  <c:v>7.4500000000000028</c:v>
                </c:pt>
                <c:pt idx="14">
                  <c:v>4.7199999999999989</c:v>
                </c:pt>
                <c:pt idx="15">
                  <c:v>3.980000000000004</c:v>
                </c:pt>
                <c:pt idx="16">
                  <c:v>2.7900000000000063</c:v>
                </c:pt>
                <c:pt idx="19">
                  <c:v>3.3499999999999943</c:v>
                </c:pt>
                <c:pt idx="20">
                  <c:v>7.7600000000000051</c:v>
                </c:pt>
                <c:pt idx="21">
                  <c:v>4.0100000000000051</c:v>
                </c:pt>
                <c:pt idx="24">
                  <c:v>7.9399999999999977</c:v>
                </c:pt>
                <c:pt idx="25">
                  <c:v>8.5400000000000063</c:v>
                </c:pt>
                <c:pt idx="26">
                  <c:v>10.189999999999998</c:v>
                </c:pt>
                <c:pt idx="27">
                  <c:v>5.9599999999999937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4971936"/>
        <c:axId val="1624972480"/>
      </c:scatterChart>
      <c:valAx>
        <c:axId val="1624971936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Dissolved H</a:t>
                </a:r>
                <a:r>
                  <a:rPr lang="en-US" sz="1400" b="0" baseline="-25000"/>
                  <a:t>2</a:t>
                </a:r>
                <a:r>
                  <a:rPr lang="en-US" sz="1400" b="0"/>
                  <a:t>O, wt% (FTIR)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624972480"/>
        <c:crosses val="autoZero"/>
        <c:crossBetween val="midCat"/>
      </c:valAx>
      <c:valAx>
        <c:axId val="1624972480"/>
        <c:scaling>
          <c:orientation val="minMax"/>
          <c:max val="1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Dissolved Volatiles, wt% (By Difference)</a:t>
                </a:r>
              </a:p>
            </c:rich>
          </c:tx>
          <c:layout>
            <c:manualLayout>
              <c:xMode val="edge"/>
              <c:yMode val="edge"/>
              <c:x val="0.31550362489183797"/>
              <c:y val="0.249398057972689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624971936"/>
        <c:crosses val="autoZero"/>
        <c:crossBetween val="midCat"/>
      </c:valAx>
      <c:spPr>
        <a:ln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0798576052398896"/>
          <c:y val="0.76990644880186998"/>
          <c:w val="0.12832101942742299"/>
          <c:h val="8.7486071595728201E-2"/>
        </c:manualLayout>
      </c:layout>
      <c:overlay val="1"/>
      <c:spPr>
        <a:ln>
          <a:solidFill>
            <a:schemeClr val="tx1"/>
          </a:solidFill>
        </a:ln>
      </c:sp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232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232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232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232"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232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232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7974" cy="58299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7974" cy="58299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7974" cy="58299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7974" cy="58299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7974" cy="58299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7974" cy="58299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workbookViewId="0">
      <selection activeCell="N8" sqref="N8"/>
    </sheetView>
  </sheetViews>
  <sheetFormatPr baseColWidth="10" defaultRowHeight="15.75"/>
  <cols>
    <col min="1" max="1" width="9" style="2" bestFit="1" customWidth="1"/>
    <col min="2" max="2" width="23.625" style="2" bestFit="1" customWidth="1"/>
    <col min="3" max="3" width="23.625" style="2" customWidth="1"/>
    <col min="4" max="4" width="24.5" style="2" bestFit="1" customWidth="1"/>
    <col min="5" max="5" width="22" style="2" customWidth="1"/>
    <col min="6" max="6" width="29.5" style="2" bestFit="1" customWidth="1"/>
    <col min="7" max="7" width="3" style="9" customWidth="1"/>
    <col min="8" max="8" width="19" style="23" customWidth="1"/>
    <col min="9" max="9" width="19" customWidth="1"/>
    <col min="10" max="10" width="3.125" style="9" customWidth="1"/>
    <col min="11" max="11" width="16" style="16" customWidth="1"/>
    <col min="12" max="12" width="15.125" style="16" customWidth="1"/>
    <col min="13" max="13" width="14.375" customWidth="1"/>
    <col min="14" max="14" width="13.875" customWidth="1"/>
    <col min="17" max="17" width="3.625" style="9" customWidth="1"/>
    <col min="18" max="19" width="15.5" customWidth="1"/>
    <col min="20" max="20" width="14" customWidth="1"/>
    <col min="21" max="21" width="13.5" customWidth="1"/>
  </cols>
  <sheetData>
    <row r="1" spans="1:23" s="1" customFormat="1" ht="18.75">
      <c r="B1" s="41" t="s">
        <v>66</v>
      </c>
      <c r="C1" s="41"/>
      <c r="D1" s="41"/>
      <c r="E1" s="41"/>
      <c r="F1" s="41"/>
      <c r="G1" s="8"/>
      <c r="H1" s="41" t="s">
        <v>69</v>
      </c>
      <c r="I1" s="41"/>
      <c r="J1" s="8"/>
      <c r="K1" s="41" t="s">
        <v>70</v>
      </c>
      <c r="L1" s="41"/>
      <c r="M1" s="41"/>
      <c r="N1" s="41"/>
      <c r="O1" s="41"/>
      <c r="P1" s="41"/>
      <c r="Q1" s="19"/>
      <c r="R1" s="41" t="s">
        <v>78</v>
      </c>
      <c r="S1" s="41"/>
      <c r="T1" s="41"/>
      <c r="U1" s="41"/>
      <c r="V1" s="41"/>
      <c r="W1" s="41"/>
    </row>
    <row r="2" spans="1:23" ht="16.5" thickBot="1">
      <c r="A2" s="6" t="s">
        <v>0</v>
      </c>
      <c r="B2" s="6" t="s">
        <v>62</v>
      </c>
      <c r="C2" s="6" t="s">
        <v>65</v>
      </c>
      <c r="D2" s="6" t="s">
        <v>63</v>
      </c>
      <c r="E2" s="6" t="s">
        <v>75</v>
      </c>
      <c r="F2" s="6" t="s">
        <v>64</v>
      </c>
      <c r="H2" s="40" t="s">
        <v>67</v>
      </c>
      <c r="I2" s="10" t="s">
        <v>68</v>
      </c>
      <c r="K2" s="15" t="s">
        <v>72</v>
      </c>
      <c r="L2" s="15" t="s">
        <v>71</v>
      </c>
      <c r="M2" s="10" t="s">
        <v>76</v>
      </c>
      <c r="N2" s="10" t="s">
        <v>77</v>
      </c>
      <c r="O2" s="7" t="s">
        <v>73</v>
      </c>
      <c r="P2" s="7" t="s">
        <v>74</v>
      </c>
      <c r="Q2" s="20"/>
      <c r="R2" s="15" t="s">
        <v>72</v>
      </c>
      <c r="S2" s="15" t="s">
        <v>71</v>
      </c>
      <c r="T2" s="10" t="s">
        <v>76</v>
      </c>
      <c r="U2" s="10" t="s">
        <v>77</v>
      </c>
      <c r="V2" s="7" t="s">
        <v>73</v>
      </c>
      <c r="W2" s="7" t="s">
        <v>74</v>
      </c>
    </row>
    <row r="3" spans="1:23">
      <c r="A3" s="4" t="s">
        <v>3</v>
      </c>
      <c r="B3" s="2">
        <v>0</v>
      </c>
      <c r="C3" s="2">
        <f t="shared" ref="C3:C14" si="0">B3+0.00055</f>
        <v>5.5000000000000003E-4</v>
      </c>
      <c r="D3" s="2">
        <v>2.7000000000000001E-3</v>
      </c>
      <c r="E3" s="17">
        <f t="shared" ref="E3:E14" si="1">D3*(88.02/(88.02+215.8))</f>
        <v>7.8221973536962675E-4</v>
      </c>
      <c r="F3" s="2">
        <v>3.0499999999999999E-2</v>
      </c>
      <c r="H3" s="13">
        <v>1.42</v>
      </c>
      <c r="I3" s="11">
        <v>1298</v>
      </c>
      <c r="K3" s="16">
        <f t="shared" ref="K3:K7" si="2">C3-((H3/100)*(F3+D3+C3))</f>
        <v>7.0750000000000012E-5</v>
      </c>
      <c r="L3" s="16">
        <f>E3-((I3/1000000)*(F3+D3+C3))</f>
        <v>7.3841223536962671E-4</v>
      </c>
      <c r="M3">
        <f t="shared" ref="M3:M14" si="3">K3/18.02</f>
        <v>3.9261931187569379E-6</v>
      </c>
      <c r="N3">
        <f>L3/44</f>
        <v>1.6782096258400606E-5</v>
      </c>
      <c r="O3" s="18">
        <f>M3/(N3+M3)</f>
        <v>0.18959524117369922</v>
      </c>
      <c r="P3" s="18">
        <f>N3/(M3+N3)</f>
        <v>0.81040475882630081</v>
      </c>
      <c r="Q3" s="21"/>
      <c r="R3" s="23">
        <f>0.6328-0.6328</f>
        <v>0</v>
      </c>
      <c r="S3">
        <f>0.6334-0.6328</f>
        <v>5.9999999999993392E-4</v>
      </c>
      <c r="T3">
        <f>R3/18.02</f>
        <v>0</v>
      </c>
      <c r="U3">
        <f>S3/44</f>
        <v>1.3636363636362134E-5</v>
      </c>
      <c r="V3" s="18">
        <f>T3/(U3+T3)</f>
        <v>0</v>
      </c>
      <c r="W3" s="18">
        <f>U3/(T3+U3)</f>
        <v>1</v>
      </c>
    </row>
    <row r="4" spans="1:23">
      <c r="A4" s="4" t="s">
        <v>4</v>
      </c>
      <c r="B4" s="2">
        <v>3.0000000000000001E-3</v>
      </c>
      <c r="C4" s="2">
        <f t="shared" si="0"/>
        <v>3.5500000000000002E-3</v>
      </c>
      <c r="D4" s="2">
        <v>0</v>
      </c>
      <c r="E4" s="17">
        <f t="shared" si="1"/>
        <v>0</v>
      </c>
      <c r="F4" s="2">
        <v>3.3799999999999997E-2</v>
      </c>
      <c r="H4" s="13">
        <v>5.57</v>
      </c>
      <c r="I4" s="11">
        <v>0</v>
      </c>
      <c r="K4" s="16">
        <f t="shared" si="2"/>
        <v>1.4696050000000006E-3</v>
      </c>
      <c r="L4" s="16">
        <f>E4-((I4/1000000)*(F4+D4+C4))</f>
        <v>0</v>
      </c>
      <c r="M4">
        <f t="shared" si="3"/>
        <v>8.1554106548279719E-5</v>
      </c>
      <c r="N4">
        <f>L4/44</f>
        <v>0</v>
      </c>
      <c r="O4" s="18">
        <f>M4/(N4+M4)</f>
        <v>1</v>
      </c>
      <c r="P4" s="18">
        <f>N4/(M4+N4)</f>
        <v>0</v>
      </c>
      <c r="Q4" s="21"/>
      <c r="R4" s="23">
        <v>1.5E-3</v>
      </c>
      <c r="S4">
        <v>0</v>
      </c>
      <c r="T4">
        <f t="shared" ref="T4:T63" si="4">R4/18.02</f>
        <v>8.3240843507214213E-5</v>
      </c>
      <c r="U4">
        <f t="shared" ref="U4:U63" si="5">S4/44</f>
        <v>0</v>
      </c>
      <c r="V4" s="18">
        <f t="shared" ref="V4:V63" si="6">T4/(U4+T4)</f>
        <v>1</v>
      </c>
      <c r="W4" s="18">
        <f t="shared" ref="W4:W63" si="7">U4/(T4+U4)</f>
        <v>0</v>
      </c>
    </row>
    <row r="5" spans="1:23">
      <c r="A5" s="4" t="s">
        <v>1</v>
      </c>
      <c r="B5" s="2">
        <v>2E-3</v>
      </c>
      <c r="C5" s="2">
        <f t="shared" si="0"/>
        <v>2.5500000000000002E-3</v>
      </c>
      <c r="D5" s="2">
        <v>2.2000000000000001E-3</v>
      </c>
      <c r="E5" s="17">
        <f t="shared" si="1"/>
        <v>6.373642288196959E-4</v>
      </c>
      <c r="F5" s="2">
        <v>2.98E-2</v>
      </c>
      <c r="H5" s="13">
        <v>4.2699999999999996</v>
      </c>
      <c r="I5" s="11">
        <v>937</v>
      </c>
      <c r="K5" s="16">
        <f t="shared" si="2"/>
        <v>1.0747150000000004E-3</v>
      </c>
      <c r="L5" s="16">
        <f>E5-((I5/1000000)*(F5+D5+C5))</f>
        <v>6.0499087881969585E-4</v>
      </c>
      <c r="M5">
        <f t="shared" si="3"/>
        <v>5.96401220865705E-5</v>
      </c>
      <c r="N5">
        <f>L5/44</f>
        <v>1.3749792700447633E-5</v>
      </c>
      <c r="O5" s="18">
        <f>M5/(N5+M5)</f>
        <v>0.81264738158709759</v>
      </c>
      <c r="P5" s="18">
        <f>N5/(M5+N5)</f>
        <v>0.18735261841290241</v>
      </c>
      <c r="Q5" s="21"/>
      <c r="R5" s="23">
        <f>0.6367-0.636</f>
        <v>7.0000000000003393E-4</v>
      </c>
      <c r="S5">
        <f>0.6375-0.6367</f>
        <v>7.9999999999991189E-4</v>
      </c>
      <c r="T5">
        <f t="shared" si="4"/>
        <v>3.884572697003518E-5</v>
      </c>
      <c r="U5">
        <f t="shared" si="5"/>
        <v>1.818181818181618E-5</v>
      </c>
      <c r="V5" s="18">
        <f t="shared" si="6"/>
        <v>0.68117480537866149</v>
      </c>
      <c r="W5" s="18">
        <f t="shared" si="7"/>
        <v>0.31882519462133851</v>
      </c>
    </row>
    <row r="6" spans="1:23">
      <c r="A6" s="4" t="s">
        <v>2</v>
      </c>
      <c r="B6" s="2">
        <v>1.5E-3</v>
      </c>
      <c r="C6" s="2">
        <f t="shared" si="0"/>
        <v>2.0500000000000002E-3</v>
      </c>
      <c r="D6" s="2">
        <v>4.8999999999999998E-3</v>
      </c>
      <c r="E6" s="17">
        <f t="shared" si="1"/>
        <v>1.4195839641893224E-3</v>
      </c>
      <c r="F6" s="2">
        <v>3.0499999999999999E-2</v>
      </c>
      <c r="H6" s="13">
        <v>1.86</v>
      </c>
      <c r="I6" s="11">
        <v>831</v>
      </c>
      <c r="K6" s="16">
        <f t="shared" si="2"/>
        <v>1.3534300000000001E-3</v>
      </c>
      <c r="L6" s="16">
        <f>E6-((I6/1000000)*(F6+D6+C6))</f>
        <v>1.3884630141893224E-3</v>
      </c>
      <c r="M6">
        <f t="shared" si="3"/>
        <v>7.5107103218645949E-5</v>
      </c>
      <c r="N6">
        <f>L6/44</f>
        <v>3.1555977595211873E-5</v>
      </c>
      <c r="O6" s="18">
        <f>M6/(N6+M6)</f>
        <v>0.70415276443888286</v>
      </c>
      <c r="P6" s="18">
        <f>N6/(M6+N6)</f>
        <v>0.29584723556111719</v>
      </c>
      <c r="Q6" s="21"/>
      <c r="R6" s="23">
        <f>0.6485-0.6483</f>
        <v>1.9999999999997797E-4</v>
      </c>
      <c r="S6">
        <f>0.6505-0.6485</f>
        <v>2.0000000000000018E-3</v>
      </c>
      <c r="T6">
        <f t="shared" si="4"/>
        <v>1.1098779134294006E-5</v>
      </c>
      <c r="U6">
        <f t="shared" si="5"/>
        <v>4.5454545454545492E-5</v>
      </c>
      <c r="V6" s="18">
        <f t="shared" si="6"/>
        <v>0.19625334522745796</v>
      </c>
      <c r="W6" s="18">
        <f t="shared" si="7"/>
        <v>0.80374665477254192</v>
      </c>
    </row>
    <row r="7" spans="1:23">
      <c r="A7" s="4" t="s">
        <v>5</v>
      </c>
      <c r="B7" s="2">
        <v>1.5E-3</v>
      </c>
      <c r="C7" s="2">
        <f t="shared" si="0"/>
        <v>2.0500000000000002E-3</v>
      </c>
      <c r="D7" s="2">
        <v>5.7000000000000002E-3</v>
      </c>
      <c r="E7" s="17">
        <f t="shared" si="1"/>
        <v>1.6513527746692121E-3</v>
      </c>
      <c r="F7" s="2">
        <v>3.6700000000000003E-2</v>
      </c>
      <c r="H7" s="13">
        <v>3.14</v>
      </c>
      <c r="I7" s="11">
        <v>443</v>
      </c>
      <c r="K7" s="16">
        <f t="shared" si="2"/>
        <v>6.5426999999999976E-4</v>
      </c>
      <c r="L7" s="16">
        <f>E7-((I7/1000000)*(F7+D7+C7))</f>
        <v>1.6316614246692121E-3</v>
      </c>
      <c r="M7">
        <f t="shared" si="3"/>
        <v>3.6307991120976682E-5</v>
      </c>
      <c r="N7">
        <f>L7/44</f>
        <v>3.708321419702755E-5</v>
      </c>
      <c r="O7" s="18">
        <f>M7/(N7+M7)</f>
        <v>0.4947185560402515</v>
      </c>
      <c r="P7" s="18">
        <f>N7/(M7+N7)</f>
        <v>0.5052814439597485</v>
      </c>
      <c r="Q7" s="21"/>
      <c r="R7" s="23">
        <v>5.0000000000000001E-4</v>
      </c>
      <c r="S7">
        <v>1.6000000000000001E-3</v>
      </c>
      <c r="T7">
        <f t="shared" si="4"/>
        <v>2.774694783573807E-5</v>
      </c>
      <c r="U7">
        <f t="shared" si="5"/>
        <v>3.6363636363636364E-5</v>
      </c>
      <c r="V7" s="18">
        <f t="shared" si="6"/>
        <v>0.43279823733081524</v>
      </c>
      <c r="W7" s="18">
        <f t="shared" si="7"/>
        <v>0.56720176266918476</v>
      </c>
    </row>
    <row r="8" spans="1:23">
      <c r="A8" s="4" t="s">
        <v>6</v>
      </c>
      <c r="B8" s="2">
        <v>2.0999999999999999E-3</v>
      </c>
      <c r="C8" s="2">
        <f t="shared" si="0"/>
        <v>2.65E-3</v>
      </c>
      <c r="D8" s="2">
        <v>3.2000000000000002E-3</v>
      </c>
      <c r="E8" s="17">
        <f t="shared" si="1"/>
        <v>9.270752419195576E-4</v>
      </c>
      <c r="F8" s="2">
        <v>3.0700000000000002E-2</v>
      </c>
      <c r="H8" s="13"/>
      <c r="I8" s="11"/>
      <c r="O8" s="18"/>
      <c r="P8" s="18"/>
      <c r="Q8" s="21"/>
      <c r="R8" s="23">
        <v>1.1000000000000001E-3</v>
      </c>
      <c r="S8">
        <v>1.1000000000000001E-3</v>
      </c>
      <c r="T8">
        <f t="shared" si="4"/>
        <v>6.1043285238623755E-5</v>
      </c>
      <c r="U8">
        <f t="shared" si="5"/>
        <v>2.5000000000000001E-5</v>
      </c>
      <c r="V8" s="18">
        <f t="shared" si="6"/>
        <v>0.70944856497903908</v>
      </c>
      <c r="W8" s="18">
        <f t="shared" si="7"/>
        <v>0.29055143502096098</v>
      </c>
    </row>
    <row r="9" spans="1:23">
      <c r="A9" s="4" t="s">
        <v>7</v>
      </c>
      <c r="B9" s="2">
        <v>0</v>
      </c>
      <c r="C9" s="2">
        <f t="shared" si="0"/>
        <v>5.5000000000000003E-4</v>
      </c>
      <c r="D9" s="2">
        <v>2.1499999999999998E-2</v>
      </c>
      <c r="E9" s="17">
        <f t="shared" si="1"/>
        <v>6.2287867816470267E-3</v>
      </c>
      <c r="F9" s="2">
        <v>6.0100000000000001E-2</v>
      </c>
      <c r="H9" s="13">
        <v>0.49</v>
      </c>
      <c r="I9" s="11"/>
      <c r="K9" s="16">
        <v>0</v>
      </c>
      <c r="M9">
        <f t="shared" si="3"/>
        <v>0</v>
      </c>
      <c r="O9" s="18">
        <v>0</v>
      </c>
      <c r="P9" s="18">
        <v>1</v>
      </c>
      <c r="Q9" s="21"/>
      <c r="R9" s="23">
        <f>0.6732-0.6728</f>
        <v>4.0000000000006697E-4</v>
      </c>
      <c r="S9">
        <f>0.6793-0.6732</f>
        <v>6.0999999999999943E-3</v>
      </c>
      <c r="T9">
        <f t="shared" si="4"/>
        <v>2.2197558268594172E-5</v>
      </c>
      <c r="U9">
        <f t="shared" si="5"/>
        <v>1.3863636363636351E-4</v>
      </c>
      <c r="V9" s="18">
        <f t="shared" si="6"/>
        <v>0.13801540126411563</v>
      </c>
      <c r="W9" s="18">
        <f t="shared" si="7"/>
        <v>0.8619845987358844</v>
      </c>
    </row>
    <row r="10" spans="1:23">
      <c r="A10" s="4" t="s">
        <v>8</v>
      </c>
      <c r="B10" s="2">
        <v>1.4E-3</v>
      </c>
      <c r="C10" s="2">
        <f t="shared" si="0"/>
        <v>1.9499999999999999E-3</v>
      </c>
      <c r="D10" s="2">
        <v>1.72E-2</v>
      </c>
      <c r="E10" s="17">
        <f t="shared" si="1"/>
        <v>4.9830294253176222E-3</v>
      </c>
      <c r="F10" s="2">
        <v>6.0400000000000002E-2</v>
      </c>
      <c r="H10" s="13">
        <v>1.79</v>
      </c>
      <c r="I10" s="11">
        <v>1077</v>
      </c>
      <c r="K10" s="16">
        <f>C10-((H10/100)*(F10+D10+C10))</f>
        <v>5.260550000000001E-4</v>
      </c>
      <c r="L10" s="16">
        <f t="shared" ref="L10:L14" si="8">E10-((I10/1000000)*(F10+D10+C10))</f>
        <v>4.8973540753176224E-3</v>
      </c>
      <c r="M10">
        <f t="shared" si="3"/>
        <v>2.9192841287458386E-5</v>
      </c>
      <c r="N10">
        <f t="shared" ref="N10:N14" si="9">L10/44</f>
        <v>1.1130350171176415E-4</v>
      </c>
      <c r="O10" s="18">
        <f>M10/(N10+M10)</f>
        <v>0.20778363809526293</v>
      </c>
      <c r="P10" s="18">
        <f>N10/(M10+N10)</f>
        <v>0.79221636190473699</v>
      </c>
      <c r="Q10" s="21"/>
      <c r="R10" s="23">
        <f>0.6839-0.683</f>
        <v>8.9999999999990088E-4</v>
      </c>
      <c r="S10">
        <f>0.6879-0.6839</f>
        <v>4.0000000000000036E-3</v>
      </c>
      <c r="T10">
        <f t="shared" si="4"/>
        <v>4.9944506104323023E-5</v>
      </c>
      <c r="U10">
        <f t="shared" si="5"/>
        <v>9.0909090909090985E-5</v>
      </c>
      <c r="V10" s="18">
        <f t="shared" si="6"/>
        <v>0.35458452722060502</v>
      </c>
      <c r="W10" s="18">
        <f t="shared" si="7"/>
        <v>0.64541547277939504</v>
      </c>
    </row>
    <row r="11" spans="1:23">
      <c r="A11" s="4" t="s">
        <v>9</v>
      </c>
      <c r="B11" s="2">
        <v>1.4E-3</v>
      </c>
      <c r="C11" s="2">
        <f t="shared" si="0"/>
        <v>1.9499999999999999E-3</v>
      </c>
      <c r="D11" s="2">
        <v>6.3E-3</v>
      </c>
      <c r="E11" s="17">
        <f t="shared" si="1"/>
        <v>1.8251793825291289E-3</v>
      </c>
      <c r="F11" s="2">
        <v>3.0200000000000001E-2</v>
      </c>
      <c r="H11" s="13">
        <v>3.22</v>
      </c>
      <c r="I11" s="11">
        <v>931</v>
      </c>
      <c r="K11" s="16">
        <f>C11-((H11/100)*(F11+D11+C11))</f>
        <v>7.1190999999999984E-4</v>
      </c>
      <c r="L11" s="16">
        <f t="shared" si="8"/>
        <v>1.789382432529129E-3</v>
      </c>
      <c r="M11">
        <f t="shared" si="3"/>
        <v>3.9506659267480571E-5</v>
      </c>
      <c r="N11">
        <f t="shared" si="9"/>
        <v>4.0667782557480204E-5</v>
      </c>
      <c r="O11" s="18">
        <f>M11/(N11+M11)</f>
        <v>0.49275876910665223</v>
      </c>
      <c r="P11" s="18">
        <f>N11/(M11+N11)</f>
        <v>0.50724123089334772</v>
      </c>
      <c r="Q11" s="21"/>
      <c r="R11" s="23">
        <f>0.6605-0.6596</f>
        <v>9.000000000000119E-4</v>
      </c>
      <c r="S11">
        <f>0.6622-0.6605</f>
        <v>1.7000000000000348E-3</v>
      </c>
      <c r="T11">
        <f t="shared" si="4"/>
        <v>4.9944506104329183E-5</v>
      </c>
      <c r="U11">
        <f t="shared" si="5"/>
        <v>3.8636363636364429E-5</v>
      </c>
      <c r="V11" s="18">
        <f t="shared" si="6"/>
        <v>0.56382948429535373</v>
      </c>
      <c r="W11" s="18">
        <f t="shared" si="7"/>
        <v>0.43617051570464632</v>
      </c>
    </row>
    <row r="12" spans="1:23">
      <c r="A12" s="4" t="s">
        <v>10</v>
      </c>
      <c r="B12" s="2">
        <v>2.2000000000000001E-3</v>
      </c>
      <c r="C12" s="2">
        <f t="shared" si="0"/>
        <v>2.7500000000000003E-3</v>
      </c>
      <c r="D12" s="2">
        <v>3.0999999999999999E-3</v>
      </c>
      <c r="E12" s="17">
        <f t="shared" si="1"/>
        <v>8.9810414060957134E-4</v>
      </c>
      <c r="F12" s="2">
        <v>3.0700000000000002E-2</v>
      </c>
      <c r="H12" s="13">
        <v>4.04</v>
      </c>
      <c r="I12" s="11">
        <v>817</v>
      </c>
      <c r="K12" s="16">
        <f>C12-((H12/100)*(F12+D12+C12))</f>
        <v>1.2733800000000002E-3</v>
      </c>
      <c r="L12" s="16">
        <f t="shared" si="8"/>
        <v>8.6824279060957138E-4</v>
      </c>
      <c r="M12">
        <f t="shared" si="3"/>
        <v>7.0664816870144294E-5</v>
      </c>
      <c r="N12">
        <f t="shared" si="9"/>
        <v>1.9732790695672077E-5</v>
      </c>
      <c r="O12" s="18">
        <f>M12/(N12+M12)</f>
        <v>0.78171114007298148</v>
      </c>
      <c r="P12" s="18">
        <f>N12/(M12+N12)</f>
        <v>0.21828885992701849</v>
      </c>
      <c r="Q12" s="21"/>
      <c r="R12" s="23">
        <f>0.6498-0.649</f>
        <v>8.0000000000002292E-4</v>
      </c>
      <c r="S12">
        <f>0.6505-0.6498</f>
        <v>6.9999999999992291E-4</v>
      </c>
      <c r="T12">
        <f t="shared" si="4"/>
        <v>4.4395116537182185E-5</v>
      </c>
      <c r="U12">
        <f t="shared" si="5"/>
        <v>1.5909090909089158E-5</v>
      </c>
      <c r="V12" s="18">
        <f t="shared" si="6"/>
        <v>0.7361860542937485</v>
      </c>
      <c r="W12" s="18">
        <f t="shared" si="7"/>
        <v>0.26381394570625155</v>
      </c>
    </row>
    <row r="13" spans="1:23">
      <c r="A13" s="4" t="s">
        <v>11</v>
      </c>
      <c r="B13" s="2">
        <v>3.0999999999999999E-3</v>
      </c>
      <c r="C13" s="2">
        <f t="shared" si="0"/>
        <v>3.65E-3</v>
      </c>
      <c r="D13" s="2">
        <v>0</v>
      </c>
      <c r="E13" s="17">
        <f t="shared" si="1"/>
        <v>0</v>
      </c>
      <c r="F13" s="2">
        <v>2.98E-2</v>
      </c>
      <c r="H13" s="13">
        <v>5.55</v>
      </c>
      <c r="I13" s="11">
        <v>0</v>
      </c>
      <c r="K13" s="16">
        <f>C13-((H13/100)*(F13+D13+C13))</f>
        <v>1.793525E-3</v>
      </c>
      <c r="L13" s="16">
        <f t="shared" si="8"/>
        <v>0</v>
      </c>
      <c r="M13">
        <f t="shared" si="3"/>
        <v>9.9529689234184241E-5</v>
      </c>
      <c r="N13">
        <f t="shared" si="9"/>
        <v>0</v>
      </c>
      <c r="O13" s="18">
        <f t="shared" ref="O13" si="10">M13/(N13+M13)</f>
        <v>1</v>
      </c>
      <c r="P13" s="18">
        <f t="shared" ref="P13" si="11">N13/(M13+N13)</f>
        <v>0</v>
      </c>
      <c r="Q13" s="21"/>
      <c r="R13" s="23">
        <f>0.6386-0.6372</f>
        <v>1.3999999999999568E-3</v>
      </c>
      <c r="S13">
        <f>0.6386-0.6386</f>
        <v>0</v>
      </c>
      <c r="T13">
        <f t="shared" si="4"/>
        <v>7.7691453940064193E-5</v>
      </c>
      <c r="U13">
        <f t="shared" si="5"/>
        <v>0</v>
      </c>
      <c r="V13" s="18">
        <f t="shared" si="6"/>
        <v>1</v>
      </c>
      <c r="W13" s="18">
        <f t="shared" si="7"/>
        <v>0</v>
      </c>
    </row>
    <row r="14" spans="1:23">
      <c r="A14" s="4" t="s">
        <v>19</v>
      </c>
      <c r="B14" s="2">
        <v>0</v>
      </c>
      <c r="C14" s="2">
        <f t="shared" si="0"/>
        <v>5.5000000000000003E-4</v>
      </c>
      <c r="D14" s="2">
        <v>1.72E-2</v>
      </c>
      <c r="E14" s="17">
        <f t="shared" si="1"/>
        <v>4.9830294253176222E-3</v>
      </c>
      <c r="F14" s="2">
        <v>5.28E-2</v>
      </c>
      <c r="H14" s="13">
        <v>1.1399999999999999</v>
      </c>
      <c r="I14" s="11">
        <v>2037</v>
      </c>
      <c r="K14" s="16">
        <v>0</v>
      </c>
      <c r="L14" s="16">
        <f t="shared" si="8"/>
        <v>4.8393190753176218E-3</v>
      </c>
      <c r="M14">
        <f t="shared" si="3"/>
        <v>0</v>
      </c>
      <c r="N14">
        <f t="shared" si="9"/>
        <v>1.0998452443903686E-4</v>
      </c>
      <c r="O14" s="18">
        <f t="shared" ref="O14" si="12">M14/(N14+M14)</f>
        <v>0</v>
      </c>
      <c r="P14" s="18">
        <f t="shared" ref="P14" si="13">N14/(M14+N14)</f>
        <v>1</v>
      </c>
      <c r="Q14" s="21"/>
      <c r="R14" s="23">
        <f>0.6682-0.6679</f>
        <v>2.9999999999996696E-4</v>
      </c>
      <c r="S14">
        <f>0.6729-0.6682</f>
        <v>4.7000000000000375E-3</v>
      </c>
      <c r="T14">
        <f t="shared" si="4"/>
        <v>1.6648168701441008E-5</v>
      </c>
      <c r="U14">
        <f t="shared" si="5"/>
        <v>1.0681818181818267E-4</v>
      </c>
      <c r="V14" s="18">
        <f t="shared" si="6"/>
        <v>0.13483972460006388</v>
      </c>
      <c r="W14" s="18">
        <f t="shared" si="7"/>
        <v>0.86516027539993623</v>
      </c>
    </row>
    <row r="15" spans="1:23">
      <c r="A15" s="4" t="s">
        <v>12</v>
      </c>
      <c r="B15" s="2">
        <v>5.9999999999999995E-4</v>
      </c>
      <c r="C15" s="2">
        <f t="shared" ref="C15:C63" si="14">B15+0.00055</f>
        <v>1.15E-3</v>
      </c>
      <c r="D15" s="2">
        <v>8.6E-3</v>
      </c>
      <c r="E15" s="17">
        <f t="shared" ref="E15:E63" si="15">D15*(88.02/(88.02+215.8))</f>
        <v>2.4915147126588111E-3</v>
      </c>
      <c r="F15" s="2">
        <v>3.09E-2</v>
      </c>
      <c r="H15" s="13">
        <v>2.25</v>
      </c>
      <c r="I15" s="11">
        <v>1186</v>
      </c>
      <c r="K15" s="16">
        <f>C15-((H15/100)*(F15+D15+C15))</f>
        <v>2.3537500000000002E-4</v>
      </c>
      <c r="L15" s="16">
        <f t="shared" ref="L15:L62" si="16">E15-((I15/1000000)*(F15+D15+C15))</f>
        <v>2.4433038126588113E-3</v>
      </c>
      <c r="M15">
        <f t="shared" ref="M15:M63" si="17">K15/18.02</f>
        <v>1.3061875693673698E-5</v>
      </c>
      <c r="N15">
        <f t="shared" ref="N15:N62" si="18">L15/44</f>
        <v>5.5529632105882078E-5</v>
      </c>
      <c r="O15" s="18">
        <f t="shared" ref="O15:O62" si="19">M15/(N15+M15)</f>
        <v>0.19042992511324108</v>
      </c>
      <c r="P15" s="18">
        <f t="shared" ref="P15:P62" si="20">N15/(M15+N15)</f>
        <v>0.80957007488675892</v>
      </c>
      <c r="Q15" s="21"/>
      <c r="R15" s="23">
        <v>2.9999999999999997E-4</v>
      </c>
      <c r="S15">
        <v>2.2000000000000001E-3</v>
      </c>
      <c r="T15">
        <f t="shared" si="4"/>
        <v>1.6648168701442841E-5</v>
      </c>
      <c r="U15">
        <f t="shared" si="5"/>
        <v>5.0000000000000002E-5</v>
      </c>
      <c r="V15" s="18">
        <f t="shared" si="6"/>
        <v>0.24979184013322228</v>
      </c>
      <c r="W15" s="18">
        <f t="shared" si="7"/>
        <v>0.75020815986677769</v>
      </c>
    </row>
    <row r="16" spans="1:23">
      <c r="A16" s="4" t="s">
        <v>13</v>
      </c>
      <c r="B16" s="2">
        <v>1.4E-3</v>
      </c>
      <c r="C16" s="2">
        <f t="shared" si="14"/>
        <v>1.9499999999999999E-3</v>
      </c>
      <c r="D16" s="2">
        <v>5.5999999999999999E-3</v>
      </c>
      <c r="E16" s="17">
        <f t="shared" si="15"/>
        <v>1.6223816733592258E-3</v>
      </c>
      <c r="F16" s="2">
        <v>3.0200000000000001E-2</v>
      </c>
      <c r="H16" s="13">
        <v>3.59</v>
      </c>
      <c r="I16" s="11">
        <v>982</v>
      </c>
      <c r="K16" s="16">
        <f>C16-((H16/100)*(F16+D16+C16))</f>
        <v>5.9477499999999986E-4</v>
      </c>
      <c r="L16" s="16">
        <f t="shared" si="16"/>
        <v>1.5853111733592259E-3</v>
      </c>
      <c r="M16">
        <f t="shared" si="17"/>
        <v>3.3006381798002212E-5</v>
      </c>
      <c r="N16">
        <f t="shared" si="18"/>
        <v>3.6029799394527864E-5</v>
      </c>
      <c r="O16" s="18">
        <f t="shared" si="19"/>
        <v>0.47810265903835369</v>
      </c>
      <c r="P16" s="18">
        <f t="shared" si="20"/>
        <v>0.52189734096164631</v>
      </c>
      <c r="Q16" s="21"/>
      <c r="R16" s="23">
        <v>5.0000000000000001E-4</v>
      </c>
      <c r="S16">
        <v>1.6000000000000001E-3</v>
      </c>
      <c r="T16">
        <f t="shared" si="4"/>
        <v>2.774694783573807E-5</v>
      </c>
      <c r="U16">
        <f t="shared" si="5"/>
        <v>3.6363636363636364E-5</v>
      </c>
      <c r="V16" s="18">
        <f t="shared" si="6"/>
        <v>0.43279823733081524</v>
      </c>
      <c r="W16" s="18">
        <f t="shared" si="7"/>
        <v>0.56720176266918476</v>
      </c>
    </row>
    <row r="17" spans="1:27">
      <c r="A17" s="4" t="s">
        <v>14</v>
      </c>
      <c r="B17" s="2">
        <v>2.0999999999999999E-3</v>
      </c>
      <c r="C17" s="2">
        <f t="shared" si="14"/>
        <v>2.65E-3</v>
      </c>
      <c r="D17" s="2">
        <v>3.0000000000000001E-3</v>
      </c>
      <c r="E17" s="17">
        <f t="shared" si="15"/>
        <v>8.691330392995853E-4</v>
      </c>
      <c r="F17" s="2">
        <v>3.0099999999999998E-2</v>
      </c>
      <c r="H17" s="13">
        <v>3.03</v>
      </c>
      <c r="I17" s="11">
        <v>1622</v>
      </c>
      <c r="K17" s="16">
        <f>C17-((H17/100)*(F17+D17+C17))</f>
        <v>1.5667750000000003E-3</v>
      </c>
      <c r="L17" s="16">
        <f t="shared" si="16"/>
        <v>8.1114653929958535E-4</v>
      </c>
      <c r="M17">
        <f t="shared" si="17"/>
        <v>8.694644839067705E-5</v>
      </c>
      <c r="N17">
        <f t="shared" si="18"/>
        <v>1.8435148620445122E-5</v>
      </c>
      <c r="O17" s="18">
        <f t="shared" si="19"/>
        <v>0.82506292233833356</v>
      </c>
      <c r="P17" s="18">
        <f t="shared" si="20"/>
        <v>0.17493707766166652</v>
      </c>
      <c r="Q17" s="21"/>
      <c r="R17" s="23">
        <v>8.9999999999999998E-4</v>
      </c>
      <c r="S17">
        <v>1.1000000000000001E-3</v>
      </c>
      <c r="T17">
        <f t="shared" si="4"/>
        <v>4.9944506104328525E-5</v>
      </c>
      <c r="U17">
        <f t="shared" si="5"/>
        <v>2.5000000000000001E-5</v>
      </c>
      <c r="V17" s="18">
        <f t="shared" si="6"/>
        <v>0.66641984450203628</v>
      </c>
      <c r="W17" s="18">
        <f t="shared" si="7"/>
        <v>0.33358015549796372</v>
      </c>
    </row>
    <row r="18" spans="1:27">
      <c r="A18" s="4" t="s">
        <v>15</v>
      </c>
      <c r="B18" s="2">
        <v>3.0000000000000001E-3</v>
      </c>
      <c r="C18" s="2">
        <f t="shared" si="14"/>
        <v>3.5500000000000002E-3</v>
      </c>
      <c r="D18" s="2">
        <v>0</v>
      </c>
      <c r="E18" s="17">
        <f t="shared" si="15"/>
        <v>0</v>
      </c>
      <c r="F18" s="2">
        <v>3.0300000000000001E-2</v>
      </c>
      <c r="H18" s="13">
        <v>6.65</v>
      </c>
      <c r="I18" s="11">
        <v>0</v>
      </c>
      <c r="K18" s="16">
        <f>C18-((H18/100)*(F18+D18+C18))</f>
        <v>1.2989750000000004E-3</v>
      </c>
      <c r="L18" s="16">
        <f t="shared" si="16"/>
        <v>0</v>
      </c>
      <c r="M18">
        <f t="shared" si="17"/>
        <v>7.2085183129855734E-5</v>
      </c>
      <c r="N18">
        <f t="shared" si="18"/>
        <v>0</v>
      </c>
      <c r="O18" s="18">
        <f t="shared" ref="O18" si="21">M18/(N18+M18)</f>
        <v>1</v>
      </c>
      <c r="P18" s="18">
        <f t="shared" ref="P18" si="22">N18/(M18+N18)</f>
        <v>0</v>
      </c>
      <c r="Q18" s="21"/>
      <c r="R18" s="23">
        <v>1.1000000000000001E-3</v>
      </c>
      <c r="S18">
        <v>0</v>
      </c>
      <c r="T18">
        <f t="shared" si="4"/>
        <v>6.1043285238623755E-5</v>
      </c>
      <c r="U18">
        <f t="shared" si="5"/>
        <v>0</v>
      </c>
      <c r="V18" s="18">
        <f t="shared" si="6"/>
        <v>1</v>
      </c>
      <c r="W18" s="18">
        <f t="shared" si="7"/>
        <v>0</v>
      </c>
    </row>
    <row r="19" spans="1:27">
      <c r="A19" s="4" t="s">
        <v>16</v>
      </c>
      <c r="B19" s="2">
        <v>0</v>
      </c>
      <c r="C19" s="2">
        <f t="shared" si="14"/>
        <v>5.5000000000000003E-4</v>
      </c>
      <c r="D19" s="2">
        <v>2.1499999999999998E-2</v>
      </c>
      <c r="E19" s="17">
        <f t="shared" si="15"/>
        <v>6.2287867816470267E-3</v>
      </c>
      <c r="F19" s="2">
        <v>6.25E-2</v>
      </c>
      <c r="H19" s="13">
        <v>1.01</v>
      </c>
      <c r="I19" s="11">
        <v>1245</v>
      </c>
      <c r="K19" s="16">
        <v>0</v>
      </c>
      <c r="L19" s="16">
        <f t="shared" si="16"/>
        <v>6.1235220316470263E-3</v>
      </c>
      <c r="M19">
        <f t="shared" si="17"/>
        <v>0</v>
      </c>
      <c r="N19">
        <f t="shared" si="18"/>
        <v>1.3917095526470513E-4</v>
      </c>
      <c r="O19" s="18">
        <v>0</v>
      </c>
      <c r="P19" s="18">
        <v>1</v>
      </c>
      <c r="Q19" s="21"/>
      <c r="R19" s="23">
        <v>0</v>
      </c>
      <c r="S19">
        <v>3.5000000000000001E-3</v>
      </c>
      <c r="T19">
        <f t="shared" si="4"/>
        <v>0</v>
      </c>
      <c r="U19">
        <f t="shared" si="5"/>
        <v>7.9545454545454551E-5</v>
      </c>
      <c r="V19" s="18">
        <f t="shared" si="6"/>
        <v>0</v>
      </c>
      <c r="W19" s="18">
        <f t="shared" si="7"/>
        <v>1</v>
      </c>
    </row>
    <row r="20" spans="1:27">
      <c r="A20" s="4" t="s">
        <v>17</v>
      </c>
      <c r="B20" s="2">
        <v>2.5999999999999999E-3</v>
      </c>
      <c r="C20" s="2">
        <f t="shared" si="14"/>
        <v>3.15E-3</v>
      </c>
      <c r="D20" s="2">
        <v>0.01</v>
      </c>
      <c r="E20" s="17">
        <f t="shared" si="15"/>
        <v>2.8971101309986174E-3</v>
      </c>
      <c r="F20" s="2">
        <v>6.0600000000000001E-2</v>
      </c>
      <c r="H20" s="13">
        <v>2.94</v>
      </c>
      <c r="I20" s="11">
        <v>1702</v>
      </c>
      <c r="K20" s="16">
        <f>C20-((H20/100)*(F20+D20+C20))</f>
        <v>9.8175000000000042E-4</v>
      </c>
      <c r="L20" s="16">
        <f t="shared" si="16"/>
        <v>2.7715876309986173E-3</v>
      </c>
      <c r="M20">
        <f t="shared" si="17"/>
        <v>5.4481132075471723E-5</v>
      </c>
      <c r="N20">
        <f t="shared" si="18"/>
        <v>6.2990627977241298E-5</v>
      </c>
      <c r="O20" s="18">
        <f t="shared" si="19"/>
        <v>0.46378067418947705</v>
      </c>
      <c r="P20" s="18">
        <f t="shared" si="20"/>
        <v>0.5362193258105229</v>
      </c>
      <c r="Q20" s="21"/>
      <c r="R20" s="23">
        <f>0.682-0.6818</f>
        <v>2.00000000000089E-4</v>
      </c>
      <c r="S20">
        <f>0.6822-0.682</f>
        <v>1.9999999999997797E-4</v>
      </c>
      <c r="T20">
        <f t="shared" si="4"/>
        <v>1.1098779134300166E-5</v>
      </c>
      <c r="U20">
        <f t="shared" si="5"/>
        <v>4.5454545454540449E-6</v>
      </c>
      <c r="V20" s="18">
        <f t="shared" si="6"/>
        <v>0.70944856497915343</v>
      </c>
      <c r="W20" s="18">
        <f t="shared" si="7"/>
        <v>0.29055143502084657</v>
      </c>
    </row>
    <row r="21" spans="1:27">
      <c r="A21" s="4" t="s">
        <v>18</v>
      </c>
      <c r="B21" s="2">
        <v>5.8999999999999999E-3</v>
      </c>
      <c r="C21" s="2">
        <f t="shared" si="14"/>
        <v>6.45E-3</v>
      </c>
      <c r="D21" s="2">
        <v>0</v>
      </c>
      <c r="E21" s="17">
        <f t="shared" si="15"/>
        <v>0</v>
      </c>
      <c r="F21" s="2">
        <v>6.0400000000000002E-2</v>
      </c>
      <c r="H21" s="13">
        <v>5.08</v>
      </c>
      <c r="I21" s="13">
        <v>0</v>
      </c>
      <c r="K21" s="16">
        <f>C21-((H21/100)*(F21+D21+C21))</f>
        <v>3.0540199999999997E-3</v>
      </c>
      <c r="L21" s="16">
        <f t="shared" si="16"/>
        <v>0</v>
      </c>
      <c r="M21">
        <f t="shared" si="17"/>
        <v>1.6947946725860154E-4</v>
      </c>
      <c r="N21">
        <f t="shared" si="18"/>
        <v>0</v>
      </c>
      <c r="O21" s="18">
        <f t="shared" ref="O21" si="23">M21/(N21+M21)</f>
        <v>1</v>
      </c>
      <c r="P21" s="18">
        <f t="shared" ref="P21" si="24">N21/(M21+N21)</f>
        <v>0</v>
      </c>
      <c r="Q21" s="21"/>
      <c r="R21" s="23">
        <v>2.3999999999999998E-3</v>
      </c>
      <c r="S21">
        <v>0</v>
      </c>
      <c r="T21">
        <f t="shared" si="4"/>
        <v>1.3318534961154273E-4</v>
      </c>
      <c r="U21">
        <f t="shared" si="5"/>
        <v>0</v>
      </c>
      <c r="V21" s="18">
        <f t="shared" si="6"/>
        <v>1</v>
      </c>
      <c r="W21" s="18">
        <f t="shared" si="7"/>
        <v>0</v>
      </c>
      <c r="AA21" s="18"/>
    </row>
    <row r="22" spans="1:27">
      <c r="A22" s="4" t="s">
        <v>20</v>
      </c>
      <c r="B22" s="2">
        <v>0</v>
      </c>
      <c r="C22" s="2">
        <f t="shared" si="14"/>
        <v>5.5000000000000003E-4</v>
      </c>
      <c r="D22" s="2">
        <v>1.7899999999999999E-2</v>
      </c>
      <c r="E22" s="17">
        <f t="shared" si="15"/>
        <v>5.1858271344875249E-3</v>
      </c>
      <c r="F22" s="2">
        <v>5.0299999999999997E-2</v>
      </c>
      <c r="H22" s="13"/>
      <c r="I22" s="11"/>
      <c r="O22" s="18"/>
      <c r="P22" s="18"/>
      <c r="Q22" s="21"/>
      <c r="R22" s="23">
        <f>0.8641-0.8638</f>
        <v>2.9999999999996696E-4</v>
      </c>
      <c r="S22">
        <f>0.8687-0.8641</f>
        <v>4.6000000000000485E-3</v>
      </c>
      <c r="T22">
        <f t="shared" si="4"/>
        <v>1.6648168701441008E-5</v>
      </c>
      <c r="U22">
        <f t="shared" si="5"/>
        <v>1.0454545454545565E-4</v>
      </c>
      <c r="V22" s="18">
        <f t="shared" si="6"/>
        <v>0.13736835532613148</v>
      </c>
      <c r="W22" s="18">
        <f t="shared" si="7"/>
        <v>0.86263164467386855</v>
      </c>
      <c r="AA22" s="18"/>
    </row>
    <row r="23" spans="1:27">
      <c r="A23" s="5" t="s">
        <v>21</v>
      </c>
      <c r="B23" s="3">
        <v>5.1000000000000004E-3</v>
      </c>
      <c r="C23" s="2">
        <f t="shared" si="14"/>
        <v>5.6500000000000005E-3</v>
      </c>
      <c r="D23" s="3">
        <v>0</v>
      </c>
      <c r="E23" s="17">
        <f t="shared" si="15"/>
        <v>0</v>
      </c>
      <c r="F23" s="3">
        <v>5.11E-2</v>
      </c>
      <c r="H23" s="14">
        <v>7.83</v>
      </c>
      <c r="I23" s="11">
        <v>0</v>
      </c>
      <c r="K23" s="16">
        <f>C23-((H23/100)*(F23+D23+C23))</f>
        <v>1.2064750000000003E-3</v>
      </c>
      <c r="L23" s="16">
        <f t="shared" si="16"/>
        <v>0</v>
      </c>
      <c r="M23">
        <f t="shared" si="17"/>
        <v>6.6951997780244186E-5</v>
      </c>
      <c r="N23">
        <f t="shared" si="18"/>
        <v>0</v>
      </c>
      <c r="O23" s="18">
        <f t="shared" ref="O23" si="25">M23/(N23+M23)</f>
        <v>1</v>
      </c>
      <c r="P23" s="18">
        <f t="shared" ref="P23" si="26">N23/(M23+N23)</f>
        <v>0</v>
      </c>
      <c r="Q23" s="21"/>
      <c r="R23" s="23">
        <f>0.5845-0.5826</f>
        <v>1.9000000000000128E-3</v>
      </c>
      <c r="S23">
        <f>0.5845-0.5845</f>
        <v>0</v>
      </c>
      <c r="T23">
        <f t="shared" si="4"/>
        <v>1.0543840177580538E-4</v>
      </c>
      <c r="U23">
        <f t="shared" si="5"/>
        <v>0</v>
      </c>
      <c r="V23" s="18">
        <f t="shared" si="6"/>
        <v>1</v>
      </c>
      <c r="W23" s="18">
        <f t="shared" si="7"/>
        <v>0</v>
      </c>
      <c r="AA23" s="18"/>
    </row>
    <row r="24" spans="1:27">
      <c r="A24" s="5" t="s">
        <v>22</v>
      </c>
      <c r="B24" s="3">
        <v>3.5000000000000001E-3</v>
      </c>
      <c r="C24" s="2">
        <f t="shared" si="14"/>
        <v>4.0499999999999998E-3</v>
      </c>
      <c r="D24" s="3">
        <v>5.4999999999999997E-3</v>
      </c>
      <c r="E24" s="17">
        <f t="shared" si="15"/>
        <v>1.5934105720492395E-3</v>
      </c>
      <c r="F24" s="3">
        <v>5.0700000000000002E-2</v>
      </c>
      <c r="H24" s="14">
        <v>3.66</v>
      </c>
      <c r="I24" s="11">
        <v>1624</v>
      </c>
      <c r="K24" s="16">
        <f>C24-((H24/100)*(F24+D24+C24))</f>
        <v>1.8448499999999999E-3</v>
      </c>
      <c r="L24" s="16">
        <f t="shared" si="16"/>
        <v>1.4955645720492396E-3</v>
      </c>
      <c r="M24">
        <f t="shared" si="17"/>
        <v>1.0237791342952275E-4</v>
      </c>
      <c r="N24">
        <f t="shared" si="18"/>
        <v>3.3990103910209991E-5</v>
      </c>
      <c r="O24" s="18">
        <f t="shared" si="19"/>
        <v>0.75074724577442042</v>
      </c>
      <c r="P24" s="18">
        <f t="shared" si="20"/>
        <v>0.24925275422557969</v>
      </c>
      <c r="Q24" s="21"/>
      <c r="R24" s="23">
        <f>0.5784-0.5761</f>
        <v>2.3000000000000798E-3</v>
      </c>
      <c r="S24">
        <f>0.5793-0.5784</f>
        <v>9.000000000000119E-4</v>
      </c>
      <c r="T24">
        <f t="shared" si="4"/>
        <v>1.2763596004439955E-4</v>
      </c>
      <c r="U24">
        <f t="shared" si="5"/>
        <v>2.0454545454545725E-5</v>
      </c>
      <c r="V24" s="18">
        <f t="shared" si="6"/>
        <v>0.86187807661517235</v>
      </c>
      <c r="W24" s="18">
        <f t="shared" si="7"/>
        <v>0.13812192338482771</v>
      </c>
      <c r="AA24" s="18"/>
    </row>
    <row r="25" spans="1:27">
      <c r="A25" s="5" t="s">
        <v>23</v>
      </c>
      <c r="B25" s="3">
        <v>2.2000000000000001E-3</v>
      </c>
      <c r="C25" s="2">
        <f t="shared" si="14"/>
        <v>2.7500000000000003E-3</v>
      </c>
      <c r="D25" s="3">
        <v>9.1000000000000004E-3</v>
      </c>
      <c r="E25" s="17">
        <f t="shared" si="15"/>
        <v>2.6363702192087422E-3</v>
      </c>
      <c r="F25" s="3">
        <v>5.0599999999999999E-2</v>
      </c>
      <c r="H25" s="14">
        <v>2.08</v>
      </c>
      <c r="I25" s="11">
        <v>1975</v>
      </c>
      <c r="K25" s="16">
        <f>C25-((H25/100)*(F25+D25+C25))</f>
        <v>1.4510400000000002E-3</v>
      </c>
      <c r="L25" s="16">
        <f t="shared" si="16"/>
        <v>2.5130314692087419E-3</v>
      </c>
      <c r="M25">
        <f t="shared" si="17"/>
        <v>8.0523862375138749E-5</v>
      </c>
      <c r="N25">
        <f t="shared" si="18"/>
        <v>5.7114351572925953E-5</v>
      </c>
      <c r="O25" s="18">
        <f t="shared" si="19"/>
        <v>0.58504001225650148</v>
      </c>
      <c r="P25" s="18">
        <f t="shared" si="20"/>
        <v>0.41495998774349846</v>
      </c>
      <c r="Q25" s="21"/>
      <c r="R25" s="23">
        <f>0.5837-0.5824</f>
        <v>1.2999999999999678E-3</v>
      </c>
      <c r="S25">
        <f>0.5855-0.5837</f>
        <v>1.8000000000000238E-3</v>
      </c>
      <c r="T25">
        <f t="shared" si="4"/>
        <v>7.2142064372917195E-5</v>
      </c>
      <c r="U25">
        <f t="shared" si="5"/>
        <v>4.090909090909145E-5</v>
      </c>
      <c r="V25" s="18">
        <f t="shared" si="6"/>
        <v>0.63813646302823879</v>
      </c>
      <c r="W25" s="18">
        <f t="shared" si="7"/>
        <v>0.36186353697176116</v>
      </c>
      <c r="AA25" s="18"/>
    </row>
    <row r="26" spans="1:27">
      <c r="A26" s="5" t="s">
        <v>24</v>
      </c>
      <c r="B26" s="3">
        <v>1E-3</v>
      </c>
      <c r="C26" s="2">
        <f t="shared" si="14"/>
        <v>1.5500000000000002E-3</v>
      </c>
      <c r="D26" s="3">
        <v>1.37E-2</v>
      </c>
      <c r="E26" s="17">
        <f t="shared" si="15"/>
        <v>3.969040879468106E-3</v>
      </c>
      <c r="F26" s="3">
        <v>5.04E-2</v>
      </c>
      <c r="H26" s="14">
        <v>1.78</v>
      </c>
      <c r="I26" s="11">
        <v>667</v>
      </c>
      <c r="K26" s="16">
        <f>C26-((H26/100)*(F26+D26+C26))</f>
        <v>3.8143000000000009E-4</v>
      </c>
      <c r="L26" s="16">
        <f t="shared" si="16"/>
        <v>3.9252523294681062E-3</v>
      </c>
      <c r="M26">
        <f t="shared" si="17"/>
        <v>2.1167036625971149E-5</v>
      </c>
      <c r="N26">
        <f t="shared" si="18"/>
        <v>8.9210280215184235E-5</v>
      </c>
      <c r="O26" s="18">
        <f t="shared" si="19"/>
        <v>0.19176980589619469</v>
      </c>
      <c r="P26" s="18">
        <f t="shared" si="20"/>
        <v>0.80823019410380537</v>
      </c>
      <c r="Q26" s="21"/>
      <c r="R26" s="23">
        <f>0.5819-0.5807</f>
        <v>1.1999999999999789E-3</v>
      </c>
      <c r="S26">
        <f>0.5849-0.5819</f>
        <v>3.0000000000000027E-3</v>
      </c>
      <c r="T26">
        <f t="shared" si="4"/>
        <v>6.6592674805770197E-5</v>
      </c>
      <c r="U26">
        <f t="shared" si="5"/>
        <v>6.8181818181818239E-5</v>
      </c>
      <c r="V26" s="18">
        <f t="shared" si="6"/>
        <v>0.49410443571027052</v>
      </c>
      <c r="W26" s="18">
        <f t="shared" si="7"/>
        <v>0.50589556428972948</v>
      </c>
      <c r="AA26" s="18"/>
    </row>
    <row r="27" spans="1:27">
      <c r="A27" s="5" t="s">
        <v>25</v>
      </c>
      <c r="B27" s="3">
        <v>0</v>
      </c>
      <c r="C27" s="2">
        <f t="shared" si="14"/>
        <v>5.5000000000000003E-4</v>
      </c>
      <c r="D27" s="3">
        <v>1.7299999999999999E-2</v>
      </c>
      <c r="E27" s="17">
        <f t="shared" si="15"/>
        <v>5.0120005266276078E-3</v>
      </c>
      <c r="F27" s="3">
        <v>5.1400000000000001E-2</v>
      </c>
      <c r="H27" s="14">
        <v>0.73</v>
      </c>
      <c r="I27" s="11">
        <v>572</v>
      </c>
      <c r="K27" s="16">
        <f>C27-((H27/100)*(F27+D27+C27))</f>
        <v>4.4475000000000092E-5</v>
      </c>
      <c r="L27" s="16">
        <f t="shared" si="16"/>
        <v>4.9723895266276076E-3</v>
      </c>
      <c r="M27">
        <f t="shared" si="17"/>
        <v>2.4680910099889063E-6</v>
      </c>
      <c r="N27">
        <f t="shared" si="18"/>
        <v>1.1300885287790018E-4</v>
      </c>
      <c r="O27" s="18">
        <f t="shared" si="19"/>
        <v>2.1373019815843542E-2</v>
      </c>
      <c r="P27" s="18">
        <f t="shared" si="20"/>
        <v>0.97862698018415639</v>
      </c>
      <c r="Q27" s="21"/>
      <c r="R27" s="23">
        <f>0.5796-0.5791</f>
        <v>5.0000000000005596E-4</v>
      </c>
      <c r="S27">
        <f>0.5839-0.5796</f>
        <v>4.2999999999999705E-3</v>
      </c>
      <c r="T27">
        <f t="shared" si="4"/>
        <v>2.7746947835741174E-5</v>
      </c>
      <c r="U27">
        <f t="shared" si="5"/>
        <v>9.7727272727272062E-5</v>
      </c>
      <c r="V27" s="18">
        <f t="shared" si="6"/>
        <v>0.22113664234165645</v>
      </c>
      <c r="W27" s="18">
        <f t="shared" si="7"/>
        <v>0.77886335765834358</v>
      </c>
      <c r="AA27" s="18"/>
    </row>
    <row r="28" spans="1:27">
      <c r="A28" s="5" t="s">
        <v>26</v>
      </c>
      <c r="B28" s="3">
        <v>0</v>
      </c>
      <c r="C28" s="2">
        <f t="shared" si="14"/>
        <v>5.5000000000000003E-4</v>
      </c>
      <c r="D28" s="3">
        <v>1.77E-2</v>
      </c>
      <c r="E28" s="17">
        <f t="shared" si="15"/>
        <v>5.1278849318675528E-3</v>
      </c>
      <c r="F28" s="3">
        <v>5.0900000000000001E-2</v>
      </c>
      <c r="H28" s="14"/>
      <c r="I28" s="11"/>
      <c r="O28" s="18"/>
      <c r="P28" s="18"/>
      <c r="Q28" s="21"/>
      <c r="R28" s="23">
        <f>0.6407-0.6403</f>
        <v>4.0000000000006697E-4</v>
      </c>
      <c r="S28">
        <f>0.6453-0.6407</f>
        <v>4.5999999999999375E-3</v>
      </c>
      <c r="T28">
        <f t="shared" si="4"/>
        <v>2.2197558268594172E-5</v>
      </c>
      <c r="U28">
        <f t="shared" si="5"/>
        <v>1.0454545454545313E-4</v>
      </c>
      <c r="V28" s="18">
        <f t="shared" si="6"/>
        <v>0.17513831946824251</v>
      </c>
      <c r="W28" s="18">
        <f t="shared" si="7"/>
        <v>0.82486168053175735</v>
      </c>
      <c r="AA28" s="18"/>
    </row>
    <row r="29" spans="1:27">
      <c r="A29" s="5" t="s">
        <v>27</v>
      </c>
      <c r="B29" s="3">
        <v>1E-3</v>
      </c>
      <c r="C29" s="2">
        <f t="shared" si="14"/>
        <v>1.5500000000000002E-3</v>
      </c>
      <c r="D29" s="3">
        <v>1.37E-2</v>
      </c>
      <c r="E29" s="17">
        <f t="shared" si="15"/>
        <v>3.969040879468106E-3</v>
      </c>
      <c r="F29" s="3">
        <v>5.0099999999999999E-2</v>
      </c>
      <c r="H29" s="14"/>
      <c r="I29" s="11"/>
      <c r="O29" s="18"/>
      <c r="P29" s="18"/>
      <c r="Q29" s="21"/>
      <c r="R29" s="23">
        <f>0.6557-0.6545</f>
        <v>1.1999999999999789E-3</v>
      </c>
      <c r="S29">
        <f>0.6585-0.6557</f>
        <v>2.8000000000000247E-3</v>
      </c>
      <c r="T29">
        <f t="shared" si="4"/>
        <v>6.6592674805770197E-5</v>
      </c>
      <c r="U29">
        <f t="shared" si="5"/>
        <v>6.3636363636364196E-5</v>
      </c>
      <c r="V29" s="18">
        <f t="shared" si="6"/>
        <v>0.51135042999921865</v>
      </c>
      <c r="W29" s="18">
        <f t="shared" si="7"/>
        <v>0.48864957000078135</v>
      </c>
      <c r="AA29" s="18"/>
    </row>
    <row r="30" spans="1:27">
      <c r="A30" s="5" t="s">
        <v>28</v>
      </c>
      <c r="B30" s="3">
        <v>2.2000000000000001E-3</v>
      </c>
      <c r="C30" s="2">
        <f t="shared" si="14"/>
        <v>2.7500000000000003E-3</v>
      </c>
      <c r="D30" s="3">
        <v>0.01</v>
      </c>
      <c r="E30" s="17">
        <f t="shared" si="15"/>
        <v>2.8971101309986174E-3</v>
      </c>
      <c r="F30" s="3">
        <v>5.0799999999999998E-2</v>
      </c>
      <c r="H30" s="14">
        <v>4.04</v>
      </c>
      <c r="I30" s="11">
        <v>3375</v>
      </c>
      <c r="K30" s="16">
        <f>C30-((H30/100)*(F30+D30+C30))</f>
        <v>1.8258000000000076E-4</v>
      </c>
      <c r="L30" s="16">
        <f t="shared" si="16"/>
        <v>2.6826288809986172E-3</v>
      </c>
      <c r="M30">
        <f t="shared" si="17"/>
        <v>1.0132075471698156E-5</v>
      </c>
      <c r="N30">
        <f t="shared" si="18"/>
        <v>6.0968838204514027E-5</v>
      </c>
      <c r="O30" s="18">
        <f t="shared" si="19"/>
        <v>0.14250274641812352</v>
      </c>
      <c r="P30" s="18">
        <f t="shared" si="20"/>
        <v>0.85749725358187645</v>
      </c>
      <c r="Q30" s="21"/>
      <c r="R30" s="23">
        <f>0.5617-0.5602</f>
        <v>1.4999999999999458E-3</v>
      </c>
      <c r="S30">
        <f>0.5632-0.5617</f>
        <v>1.5000000000000568E-3</v>
      </c>
      <c r="T30">
        <f t="shared" si="4"/>
        <v>8.3240843507211205E-5</v>
      </c>
      <c r="U30">
        <f t="shared" si="5"/>
        <v>3.409090909091038E-5</v>
      </c>
      <c r="V30" s="18">
        <f t="shared" si="6"/>
        <v>0.70944856497902387</v>
      </c>
      <c r="W30" s="18">
        <f t="shared" si="7"/>
        <v>0.29055143502097625</v>
      </c>
      <c r="AA30" s="18"/>
    </row>
    <row r="31" spans="1:27">
      <c r="A31" s="5" t="s">
        <v>29</v>
      </c>
      <c r="B31" s="3">
        <v>3.5999999999999999E-3</v>
      </c>
      <c r="C31" s="2">
        <f t="shared" si="14"/>
        <v>4.15E-3</v>
      </c>
      <c r="D31" s="3">
        <v>5.4999999999999997E-3</v>
      </c>
      <c r="E31" s="17">
        <f t="shared" si="15"/>
        <v>1.5934105720492395E-3</v>
      </c>
      <c r="F31" s="3">
        <v>5.1499999999999997E-2</v>
      </c>
      <c r="H31" s="14">
        <v>4.76</v>
      </c>
      <c r="I31" s="11">
        <v>3439</v>
      </c>
      <c r="K31" s="16">
        <f>C31-((H31/100)*(F31+D31+C31))</f>
        <v>1.2392600000000003E-3</v>
      </c>
      <c r="L31" s="16">
        <f t="shared" si="16"/>
        <v>1.3831157220492395E-3</v>
      </c>
      <c r="M31">
        <f t="shared" si="17"/>
        <v>6.8771365149833529E-5</v>
      </c>
      <c r="N31">
        <f t="shared" si="18"/>
        <v>3.1434448228391805E-5</v>
      </c>
      <c r="O31" s="18">
        <f t="shared" si="19"/>
        <v>0.68630115191278418</v>
      </c>
      <c r="P31" s="18">
        <f t="shared" si="20"/>
        <v>0.31369884808721582</v>
      </c>
      <c r="Q31" s="21"/>
      <c r="R31" s="23">
        <f>0.6609-0.6595</f>
        <v>1.4000000000000679E-3</v>
      </c>
      <c r="S31">
        <f>0.6621-0.6609</f>
        <v>1.1999999999999789E-3</v>
      </c>
      <c r="T31">
        <f t="shared" si="4"/>
        <v>7.769145394007036E-5</v>
      </c>
      <c r="U31">
        <f t="shared" si="5"/>
        <v>2.7272727272726792E-5</v>
      </c>
      <c r="V31" s="18">
        <f t="shared" si="6"/>
        <v>0.74017110448910239</v>
      </c>
      <c r="W31" s="18">
        <f t="shared" si="7"/>
        <v>0.25982889551089761</v>
      </c>
      <c r="AA31" s="18"/>
    </row>
    <row r="32" spans="1:27">
      <c r="A32" s="5" t="s">
        <v>30</v>
      </c>
      <c r="B32" s="3">
        <v>5.1000000000000004E-3</v>
      </c>
      <c r="C32" s="2">
        <f t="shared" si="14"/>
        <v>5.6500000000000005E-3</v>
      </c>
      <c r="D32" s="3">
        <v>0</v>
      </c>
      <c r="E32" s="17">
        <f t="shared" si="15"/>
        <v>0</v>
      </c>
      <c r="F32" s="3">
        <v>5.0700000000000002E-2</v>
      </c>
      <c r="H32" s="14">
        <v>6.84</v>
      </c>
      <c r="I32" s="11">
        <v>0</v>
      </c>
      <c r="K32" s="16">
        <f>C32-((H32/100)*(F32+D32+C32))</f>
        <v>1.7956600000000001E-3</v>
      </c>
      <c r="L32" s="16">
        <f t="shared" si="16"/>
        <v>0</v>
      </c>
      <c r="M32">
        <f t="shared" si="17"/>
        <v>9.9648168701442849E-5</v>
      </c>
      <c r="N32">
        <f t="shared" si="18"/>
        <v>0</v>
      </c>
      <c r="O32" s="18">
        <f t="shared" si="19"/>
        <v>1</v>
      </c>
      <c r="P32" s="18">
        <f t="shared" si="20"/>
        <v>0</v>
      </c>
      <c r="Q32" s="21"/>
      <c r="R32" s="23">
        <f>0.6588-0.6576</f>
        <v>1.2000000000000899E-3</v>
      </c>
      <c r="S32">
        <f>0</f>
        <v>0</v>
      </c>
      <c r="T32">
        <f t="shared" si="4"/>
        <v>6.659267480577635E-5</v>
      </c>
      <c r="U32">
        <f t="shared" si="5"/>
        <v>0</v>
      </c>
      <c r="V32" s="18">
        <f t="shared" si="6"/>
        <v>1</v>
      </c>
      <c r="W32" s="18">
        <f t="shared" si="7"/>
        <v>0</v>
      </c>
      <c r="AA32" s="18"/>
    </row>
    <row r="33" spans="1:27">
      <c r="A33" s="4" t="s">
        <v>31</v>
      </c>
      <c r="B33" s="2">
        <v>3.0000000000000001E-3</v>
      </c>
      <c r="C33" s="2">
        <f t="shared" si="14"/>
        <v>3.5500000000000002E-3</v>
      </c>
      <c r="D33" s="2">
        <v>0</v>
      </c>
      <c r="E33" s="17">
        <f t="shared" si="15"/>
        <v>0</v>
      </c>
      <c r="F33" s="2">
        <v>3.1099999999999999E-2</v>
      </c>
      <c r="H33" s="13"/>
      <c r="I33" s="11">
        <v>0</v>
      </c>
      <c r="L33" s="16">
        <f t="shared" si="16"/>
        <v>0</v>
      </c>
      <c r="N33">
        <f t="shared" si="18"/>
        <v>0</v>
      </c>
      <c r="O33" s="18"/>
      <c r="P33" s="18"/>
      <c r="Q33" s="21"/>
      <c r="R33" s="24"/>
      <c r="S33" s="22"/>
      <c r="V33" s="18"/>
      <c r="W33" s="18"/>
      <c r="AA33" s="18"/>
    </row>
    <row r="34" spans="1:27">
      <c r="A34" s="4" t="s">
        <v>32</v>
      </c>
      <c r="B34" s="2">
        <v>2E-3</v>
      </c>
      <c r="C34" s="2">
        <f t="shared" si="14"/>
        <v>2.5500000000000002E-3</v>
      </c>
      <c r="D34" s="2">
        <v>2.5999999999999999E-3</v>
      </c>
      <c r="E34" s="17">
        <f t="shared" si="15"/>
        <v>7.5324863405964049E-4</v>
      </c>
      <c r="F34" s="2">
        <v>3.15E-2</v>
      </c>
      <c r="H34" s="13"/>
      <c r="I34" s="11"/>
      <c r="O34" s="18"/>
      <c r="P34" s="18"/>
      <c r="Q34" s="21"/>
      <c r="R34" s="24"/>
      <c r="S34" s="22"/>
      <c r="V34" s="18"/>
      <c r="W34" s="18"/>
      <c r="AA34" s="18"/>
    </row>
    <row r="35" spans="1:27">
      <c r="A35" s="4" t="s">
        <v>33</v>
      </c>
      <c r="B35" s="2">
        <v>1.2999999999999999E-3</v>
      </c>
      <c r="C35" s="2">
        <f t="shared" si="14"/>
        <v>1.8500000000000001E-3</v>
      </c>
      <c r="D35" s="2">
        <v>4.7999999999999996E-3</v>
      </c>
      <c r="E35" s="17">
        <f t="shared" si="15"/>
        <v>1.3906128628793362E-3</v>
      </c>
      <c r="F35" s="2">
        <v>3.1099999999999999E-2</v>
      </c>
      <c r="H35" s="13">
        <v>2.9</v>
      </c>
      <c r="I35" s="11">
        <v>1131</v>
      </c>
      <c r="K35" s="16">
        <f>C35-((H35/100)*(F35+D35+C35))</f>
        <v>7.5525000000000028E-4</v>
      </c>
      <c r="L35" s="16">
        <f t="shared" si="16"/>
        <v>1.3479176128793362E-3</v>
      </c>
      <c r="M35">
        <f t="shared" si="17"/>
        <v>4.191176470588237E-5</v>
      </c>
      <c r="N35">
        <f t="shared" si="18"/>
        <v>3.0634491201803094E-5</v>
      </c>
      <c r="O35" s="18">
        <f t="shared" si="19"/>
        <v>0.57772471068961506</v>
      </c>
      <c r="P35" s="18">
        <f t="shared" si="20"/>
        <v>0.42227528931038477</v>
      </c>
      <c r="Q35" s="21"/>
      <c r="R35" s="24"/>
      <c r="S35" s="22"/>
      <c r="V35" s="18"/>
      <c r="W35" s="18"/>
      <c r="AA35" s="18"/>
    </row>
    <row r="36" spans="1:27">
      <c r="A36" s="4" t="s">
        <v>34</v>
      </c>
      <c r="B36" s="2">
        <v>5.9999999999999995E-4</v>
      </c>
      <c r="C36" s="2">
        <f t="shared" si="14"/>
        <v>1.15E-3</v>
      </c>
      <c r="D36" s="2">
        <v>7.1000000000000004E-3</v>
      </c>
      <c r="E36" s="17">
        <f t="shared" si="15"/>
        <v>2.0569481930090183E-3</v>
      </c>
      <c r="F36" s="2">
        <v>3.0300000000000001E-2</v>
      </c>
      <c r="H36" s="13"/>
      <c r="I36" s="11"/>
      <c r="K36" s="16">
        <f>C36-((H36/100)*(F36+D36+C36))</f>
        <v>1.15E-3</v>
      </c>
      <c r="M36">
        <f t="shared" si="17"/>
        <v>6.3817980022197565E-5</v>
      </c>
      <c r="O36" s="18"/>
      <c r="P36" s="18"/>
      <c r="Q36" s="21"/>
      <c r="R36" s="24"/>
      <c r="S36" s="22"/>
      <c r="V36" s="18"/>
      <c r="W36" s="18"/>
      <c r="AA36" s="18"/>
    </row>
    <row r="37" spans="1:27">
      <c r="A37" s="4" t="s">
        <v>35</v>
      </c>
      <c r="B37" s="2">
        <v>0</v>
      </c>
      <c r="C37" s="2">
        <f t="shared" si="14"/>
        <v>5.5000000000000003E-4</v>
      </c>
      <c r="D37" s="2">
        <v>1.9900000000000001E-2</v>
      </c>
      <c r="E37" s="17">
        <f t="shared" si="15"/>
        <v>5.7652491606872492E-3</v>
      </c>
      <c r="F37" s="2">
        <v>6.2799999999999995E-2</v>
      </c>
      <c r="H37" s="13">
        <v>0.73</v>
      </c>
      <c r="I37" s="11">
        <v>531</v>
      </c>
      <c r="K37" s="16">
        <v>0</v>
      </c>
      <c r="L37" s="16">
        <f t="shared" si="16"/>
        <v>5.7210434106872493E-3</v>
      </c>
      <c r="M37">
        <f t="shared" si="17"/>
        <v>0</v>
      </c>
      <c r="N37">
        <f t="shared" si="18"/>
        <v>1.3002371387925568E-4</v>
      </c>
      <c r="O37" s="18">
        <f t="shared" si="19"/>
        <v>0</v>
      </c>
      <c r="P37" s="18">
        <f t="shared" si="20"/>
        <v>1</v>
      </c>
      <c r="Q37" s="21"/>
      <c r="R37" s="23">
        <f>0.6725-0.6721</f>
        <v>3.9999999999995595E-4</v>
      </c>
      <c r="S37">
        <f>0.6774-0.6725</f>
        <v>4.9000000000000155E-3</v>
      </c>
      <c r="T37">
        <f t="shared" si="4"/>
        <v>2.2197558268588012E-5</v>
      </c>
      <c r="U37">
        <f t="shared" si="5"/>
        <v>1.1136363636363671E-4</v>
      </c>
      <c r="V37" s="18">
        <f t="shared" si="6"/>
        <v>0.16619766190105892</v>
      </c>
      <c r="W37" s="18">
        <f t="shared" si="7"/>
        <v>0.833802338098941</v>
      </c>
      <c r="AA37" s="18"/>
    </row>
    <row r="38" spans="1:27">
      <c r="A38" s="4" t="s">
        <v>36</v>
      </c>
      <c r="B38" s="2">
        <v>1.1000000000000001E-3</v>
      </c>
      <c r="C38" s="2">
        <f t="shared" si="14"/>
        <v>1.65E-3</v>
      </c>
      <c r="D38" s="2">
        <v>4.7000000000000002E-3</v>
      </c>
      <c r="E38" s="17">
        <f t="shared" si="15"/>
        <v>1.3616417615693504E-3</v>
      </c>
      <c r="F38" s="2">
        <v>0.06</v>
      </c>
      <c r="H38" s="13">
        <v>1.52</v>
      </c>
      <c r="I38" s="11">
        <v>677</v>
      </c>
      <c r="K38" s="16">
        <f>C38-((H38/100)*(F38+D38+C38))</f>
        <v>6.4148000000000004E-4</v>
      </c>
      <c r="L38" s="16">
        <f t="shared" si="16"/>
        <v>1.3167228115693503E-3</v>
      </c>
      <c r="M38">
        <f t="shared" si="17"/>
        <v>3.5598224195338516E-5</v>
      </c>
      <c r="N38">
        <f t="shared" si="18"/>
        <v>2.9925518444757962E-5</v>
      </c>
      <c r="O38" s="18">
        <f t="shared" si="19"/>
        <v>0.54328740638137185</v>
      </c>
      <c r="P38" s="18">
        <f t="shared" si="20"/>
        <v>0.4567125936186282</v>
      </c>
      <c r="Q38" s="21"/>
      <c r="R38" s="23">
        <f>0.6768-0.6762</f>
        <v>5.9999999999993392E-4</v>
      </c>
      <c r="S38">
        <f>0.678-0.6768</f>
        <v>1.2000000000000899E-3</v>
      </c>
      <c r="T38">
        <f t="shared" si="4"/>
        <v>3.3296337402882015E-5</v>
      </c>
      <c r="U38">
        <f t="shared" si="5"/>
        <v>2.7272727272729316E-5</v>
      </c>
      <c r="V38" s="18">
        <f t="shared" si="6"/>
        <v>0.54972513743123852</v>
      </c>
      <c r="W38" s="18">
        <f t="shared" si="7"/>
        <v>0.45027486256876142</v>
      </c>
      <c r="AA38" s="18"/>
    </row>
    <row r="39" spans="1:27">
      <c r="A39" s="4" t="s">
        <v>37</v>
      </c>
      <c r="B39" s="2">
        <v>2.5999999999999999E-3</v>
      </c>
      <c r="C39" s="2">
        <f t="shared" si="14"/>
        <v>3.15E-3</v>
      </c>
      <c r="D39" s="2">
        <v>1.12E-2</v>
      </c>
      <c r="E39" s="17">
        <f t="shared" si="15"/>
        <v>3.2447633467184516E-3</v>
      </c>
      <c r="F39" s="2">
        <v>6.2E-2</v>
      </c>
      <c r="H39" s="13">
        <v>2.1800000000000002</v>
      </c>
      <c r="I39" s="12"/>
      <c r="K39" s="16">
        <f>C39-((H39/100)*(F39+D39+C39))</f>
        <v>1.4855700000000001E-3</v>
      </c>
      <c r="L39" s="16">
        <f t="shared" si="16"/>
        <v>3.2447633467184516E-3</v>
      </c>
      <c r="M39">
        <f t="shared" si="17"/>
        <v>8.2440066592674819E-5</v>
      </c>
      <c r="N39">
        <f t="shared" si="18"/>
        <v>7.3744621516328451E-5</v>
      </c>
      <c r="O39" s="18">
        <f t="shared" si="19"/>
        <v>0.52783706002690123</v>
      </c>
      <c r="P39" s="18">
        <f t="shared" si="20"/>
        <v>0.47216293997309866</v>
      </c>
      <c r="Q39" s="21"/>
      <c r="R39" s="23">
        <f>0.6695-0.6676</f>
        <v>1.9000000000000128E-3</v>
      </c>
      <c r="S39">
        <f>0.6726-0.6695</f>
        <v>3.0999999999999917E-3</v>
      </c>
      <c r="T39">
        <f t="shared" si="4"/>
        <v>1.0543840177580538E-4</v>
      </c>
      <c r="U39">
        <f t="shared" si="5"/>
        <v>7.045454545454526E-5</v>
      </c>
      <c r="V39" s="18">
        <f t="shared" si="6"/>
        <v>0.59944644419268556</v>
      </c>
      <c r="W39" s="18">
        <f t="shared" si="7"/>
        <v>0.40055355580731439</v>
      </c>
      <c r="AA39" s="18"/>
    </row>
    <row r="40" spans="1:27">
      <c r="A40" s="4" t="s">
        <v>38</v>
      </c>
      <c r="B40" s="2">
        <v>4.1999999999999997E-3</v>
      </c>
      <c r="C40" s="2">
        <f t="shared" si="14"/>
        <v>4.7499999999999999E-3</v>
      </c>
      <c r="D40" s="2">
        <v>6.4999999999999997E-3</v>
      </c>
      <c r="E40" s="17">
        <f t="shared" si="15"/>
        <v>1.8831215851491012E-3</v>
      </c>
      <c r="F40" s="2">
        <v>6.0499999999999998E-2</v>
      </c>
      <c r="H40" s="13">
        <v>3.55</v>
      </c>
      <c r="I40" s="12"/>
      <c r="K40" s="16">
        <f>C40-((H40/100)*(F40+D40+C40))</f>
        <v>2.202875E-3</v>
      </c>
      <c r="L40" s="16">
        <f t="shared" si="16"/>
        <v>1.8831215851491012E-3</v>
      </c>
      <c r="M40">
        <f t="shared" si="17"/>
        <v>1.2224611542730301E-4</v>
      </c>
      <c r="N40">
        <f t="shared" si="18"/>
        <v>4.2798217844297755E-5</v>
      </c>
      <c r="O40" s="18">
        <f t="shared" si="19"/>
        <v>0.74068653557545638</v>
      </c>
      <c r="P40" s="18">
        <f t="shared" si="20"/>
        <v>0.25931346442454356</v>
      </c>
      <c r="Q40" s="21"/>
      <c r="R40" s="23">
        <f>0.6648-0.6622</f>
        <v>2.5999999999999357E-3</v>
      </c>
      <c r="S40">
        <f>0.6666-0.6648</f>
        <v>1.8000000000000238E-3</v>
      </c>
      <c r="T40">
        <f t="shared" si="4"/>
        <v>1.4428412874583439E-4</v>
      </c>
      <c r="U40">
        <f t="shared" si="5"/>
        <v>4.090909090909145E-5</v>
      </c>
      <c r="V40" s="18">
        <f t="shared" si="6"/>
        <v>0.77910049306708873</v>
      </c>
      <c r="W40" s="18">
        <f t="shared" si="7"/>
        <v>0.22089950693291127</v>
      </c>
      <c r="AA40" s="18"/>
    </row>
    <row r="41" spans="1:27">
      <c r="A41" s="4" t="s">
        <v>39</v>
      </c>
      <c r="B41" s="2">
        <v>0</v>
      </c>
      <c r="C41" s="2">
        <f t="shared" si="14"/>
        <v>5.5000000000000003E-4</v>
      </c>
      <c r="D41" s="2">
        <v>2.2200000000000001E-2</v>
      </c>
      <c r="E41" s="17">
        <f t="shared" si="15"/>
        <v>6.4315844908169311E-3</v>
      </c>
      <c r="F41" s="2">
        <v>6.0199999999999997E-2</v>
      </c>
      <c r="H41" s="13">
        <v>0.45</v>
      </c>
      <c r="I41" s="12"/>
      <c r="K41" s="16">
        <v>0</v>
      </c>
      <c r="L41" s="16">
        <f t="shared" si="16"/>
        <v>6.4315844908169311E-3</v>
      </c>
      <c r="M41">
        <f t="shared" si="17"/>
        <v>0</v>
      </c>
      <c r="N41">
        <f t="shared" si="18"/>
        <v>1.4617237479129389E-4</v>
      </c>
      <c r="O41" s="18">
        <f t="shared" si="19"/>
        <v>0</v>
      </c>
      <c r="P41" s="18">
        <f t="shared" si="20"/>
        <v>1</v>
      </c>
      <c r="Q41" s="21"/>
      <c r="R41" s="23">
        <f>0.6939-0.6933</f>
        <v>5.9999999999993392E-4</v>
      </c>
      <c r="S41">
        <f>0.6997-0.6939</f>
        <v>5.8000000000000274E-3</v>
      </c>
      <c r="T41">
        <f t="shared" si="4"/>
        <v>3.3296337402882015E-5</v>
      </c>
      <c r="U41">
        <f t="shared" si="5"/>
        <v>1.3181818181818243E-4</v>
      </c>
      <c r="V41" s="18">
        <f t="shared" si="6"/>
        <v>0.20165602370984126</v>
      </c>
      <c r="W41" s="18">
        <f t="shared" si="7"/>
        <v>0.79834397629015874</v>
      </c>
      <c r="AA41" s="18"/>
    </row>
    <row r="42" spans="1:27">
      <c r="A42" s="4" t="s">
        <v>40</v>
      </c>
      <c r="B42" s="2">
        <v>1E-3</v>
      </c>
      <c r="C42" s="2">
        <f t="shared" si="14"/>
        <v>1.5500000000000002E-3</v>
      </c>
      <c r="D42" s="2">
        <v>1.34E-2</v>
      </c>
      <c r="E42" s="17">
        <f t="shared" si="15"/>
        <v>3.8821275755381475E-3</v>
      </c>
      <c r="F42" s="2">
        <v>4.99E-2</v>
      </c>
      <c r="H42" s="13">
        <v>1.91</v>
      </c>
      <c r="I42" s="11">
        <v>3074</v>
      </c>
      <c r="K42" s="16">
        <f>C42-((H42/100)*(F42+D42+C42))</f>
        <v>3.113650000000003E-4</v>
      </c>
      <c r="L42" s="16">
        <f t="shared" si="16"/>
        <v>3.6827786755381474E-3</v>
      </c>
      <c r="M42">
        <f t="shared" si="17"/>
        <v>1.7278856825749186E-5</v>
      </c>
      <c r="N42">
        <f t="shared" si="18"/>
        <v>8.369951535313972E-5</v>
      </c>
      <c r="O42" s="18">
        <f t="shared" si="19"/>
        <v>0.17111443225821377</v>
      </c>
      <c r="P42" s="18">
        <f t="shared" si="20"/>
        <v>0.82888556774178612</v>
      </c>
      <c r="Q42" s="21"/>
      <c r="R42" s="23">
        <f>0.6802-0.6792</f>
        <v>1.0000000000000009E-3</v>
      </c>
      <c r="S42">
        <f>0.6834-0.6802</f>
        <v>3.1999999999999806E-3</v>
      </c>
      <c r="T42">
        <f t="shared" si="4"/>
        <v>5.5493895671476187E-5</v>
      </c>
      <c r="U42">
        <f t="shared" si="5"/>
        <v>7.2727272727272281E-5</v>
      </c>
      <c r="V42" s="18">
        <f t="shared" si="6"/>
        <v>0.4327982373308169</v>
      </c>
      <c r="W42" s="18">
        <f t="shared" si="7"/>
        <v>0.56720176266918299</v>
      </c>
      <c r="AA42" s="18"/>
    </row>
    <row r="43" spans="1:27">
      <c r="A43" s="4" t="s">
        <v>41</v>
      </c>
      <c r="B43" s="2">
        <v>2.2000000000000001E-3</v>
      </c>
      <c r="C43" s="2">
        <f t="shared" si="14"/>
        <v>2.7500000000000003E-3</v>
      </c>
      <c r="D43" s="2">
        <v>1.0200000000000001E-2</v>
      </c>
      <c r="E43" s="17">
        <f t="shared" si="15"/>
        <v>2.9550523336185899E-3</v>
      </c>
      <c r="F43" s="2">
        <v>5.0099999999999999E-2</v>
      </c>
      <c r="H43" s="13">
        <v>3.33</v>
      </c>
      <c r="I43" s="11">
        <v>4338</v>
      </c>
      <c r="K43" s="16">
        <f>C43-((H43/100)*(F43+D43+C43))</f>
        <v>6.5043500000000042E-4</v>
      </c>
      <c r="L43" s="16">
        <f t="shared" si="16"/>
        <v>2.6815414336185898E-3</v>
      </c>
      <c r="M43">
        <f t="shared" si="17"/>
        <v>3.6095172031076605E-5</v>
      </c>
      <c r="N43">
        <f t="shared" si="18"/>
        <v>6.0944123491331586E-5</v>
      </c>
      <c r="O43" s="18">
        <f t="shared" si="19"/>
        <v>0.37196448960969175</v>
      </c>
      <c r="P43" s="18">
        <f t="shared" si="20"/>
        <v>0.62803551039030836</v>
      </c>
      <c r="Q43" s="21"/>
      <c r="R43" s="23">
        <f>0.6686-0.6673</f>
        <v>1.2999999999999678E-3</v>
      </c>
      <c r="S43">
        <f>0.6713-0.6686</f>
        <v>2.7000000000000357E-3</v>
      </c>
      <c r="T43">
        <f t="shared" si="4"/>
        <v>7.2142064372917195E-5</v>
      </c>
      <c r="U43">
        <f t="shared" si="5"/>
        <v>6.1363636363637175E-5</v>
      </c>
      <c r="V43" s="18">
        <f t="shared" si="6"/>
        <v>0.54036692047536239</v>
      </c>
      <c r="W43" s="18">
        <f t="shared" si="7"/>
        <v>0.45963307952463772</v>
      </c>
      <c r="AA43" s="18"/>
    </row>
    <row r="44" spans="1:27">
      <c r="A44" s="4" t="s">
        <v>42</v>
      </c>
      <c r="B44" s="2">
        <v>3.5000000000000001E-3</v>
      </c>
      <c r="C44" s="2">
        <f t="shared" si="14"/>
        <v>4.0499999999999998E-3</v>
      </c>
      <c r="D44" s="2">
        <v>5.1000000000000004E-3</v>
      </c>
      <c r="E44" s="17">
        <f t="shared" si="15"/>
        <v>1.4775261668092949E-3</v>
      </c>
      <c r="F44" s="2">
        <v>5.0099999999999999E-2</v>
      </c>
      <c r="H44" s="13">
        <v>3.84</v>
      </c>
      <c r="I44" s="12"/>
      <c r="K44" s="16">
        <f>C44-((H44/100)*(F44+D44+C44))</f>
        <v>1.7748E-3</v>
      </c>
      <c r="L44" s="16">
        <f t="shared" si="16"/>
        <v>1.4775261668092949E-3</v>
      </c>
      <c r="M44">
        <f t="shared" si="17"/>
        <v>9.8490566037735849E-5</v>
      </c>
      <c r="N44">
        <f t="shared" si="18"/>
        <v>3.3580140154756704E-5</v>
      </c>
      <c r="O44" s="18">
        <f t="shared" si="19"/>
        <v>0.7457411933134227</v>
      </c>
      <c r="P44" s="18">
        <f t="shared" si="20"/>
        <v>0.25425880668657724</v>
      </c>
      <c r="Q44" s="21"/>
      <c r="R44" s="23">
        <f>0.6614-0.6593</f>
        <v>2.0999999999999908E-3</v>
      </c>
      <c r="S44">
        <f>0.6629-0.6614</f>
        <v>1.5000000000000568E-3</v>
      </c>
      <c r="T44">
        <f t="shared" si="4"/>
        <v>1.1653718091009937E-4</v>
      </c>
      <c r="U44">
        <f t="shared" si="5"/>
        <v>3.409090909091038E-5</v>
      </c>
      <c r="V44" s="18">
        <f t="shared" si="6"/>
        <v>0.7736749560411883</v>
      </c>
      <c r="W44" s="18">
        <f t="shared" si="7"/>
        <v>0.22632504395881173</v>
      </c>
      <c r="AA44" s="18"/>
    </row>
    <row r="45" spans="1:27">
      <c r="A45" s="4" t="s">
        <v>43</v>
      </c>
      <c r="B45" s="2">
        <v>5.0000000000000001E-3</v>
      </c>
      <c r="C45" s="2">
        <f t="shared" si="14"/>
        <v>5.5500000000000002E-3</v>
      </c>
      <c r="D45" s="2">
        <v>0</v>
      </c>
      <c r="E45" s="17">
        <f t="shared" si="15"/>
        <v>0</v>
      </c>
      <c r="F45" s="2">
        <v>5.2699999999999997E-2</v>
      </c>
      <c r="H45" s="13"/>
      <c r="I45" s="11">
        <v>0</v>
      </c>
      <c r="L45" s="16">
        <f t="shared" si="16"/>
        <v>0</v>
      </c>
      <c r="O45" s="18"/>
      <c r="P45" s="18"/>
      <c r="Q45" s="21"/>
      <c r="R45" s="23">
        <f>0.6674-0.6639</f>
        <v>3.4999999999999476E-3</v>
      </c>
      <c r="S45">
        <v>0</v>
      </c>
      <c r="T45">
        <f t="shared" si="4"/>
        <v>1.9422863485016358E-4</v>
      </c>
      <c r="U45">
        <f t="shared" si="5"/>
        <v>0</v>
      </c>
      <c r="V45" s="18">
        <f t="shared" si="6"/>
        <v>1</v>
      </c>
      <c r="W45" s="18">
        <f t="shared" si="7"/>
        <v>0</v>
      </c>
      <c r="AA45" s="18"/>
    </row>
    <row r="46" spans="1:27">
      <c r="A46" s="4" t="s">
        <v>44</v>
      </c>
      <c r="B46" s="2">
        <v>5.0000000000000001E-3</v>
      </c>
      <c r="C46" s="2">
        <f t="shared" si="14"/>
        <v>5.5500000000000002E-3</v>
      </c>
      <c r="D46" s="2">
        <v>0</v>
      </c>
      <c r="E46" s="17">
        <f t="shared" si="15"/>
        <v>0</v>
      </c>
      <c r="F46" s="2">
        <v>5.1299999999999998E-2</v>
      </c>
      <c r="H46" s="13"/>
      <c r="I46" s="11">
        <v>0</v>
      </c>
      <c r="L46" s="16">
        <f t="shared" si="16"/>
        <v>0</v>
      </c>
      <c r="O46" s="18"/>
      <c r="P46" s="18"/>
      <c r="Q46" s="21"/>
      <c r="R46" s="23">
        <v>2.3999999999999998E-3</v>
      </c>
      <c r="S46">
        <v>0</v>
      </c>
      <c r="T46">
        <f t="shared" si="4"/>
        <v>1.3318534961154273E-4</v>
      </c>
      <c r="U46">
        <f t="shared" si="5"/>
        <v>0</v>
      </c>
      <c r="V46" s="18">
        <f t="shared" si="6"/>
        <v>1</v>
      </c>
      <c r="W46" s="18">
        <f t="shared" si="7"/>
        <v>0</v>
      </c>
      <c r="AA46" s="18"/>
    </row>
    <row r="47" spans="1:27">
      <c r="A47" s="4" t="s">
        <v>45</v>
      </c>
      <c r="B47" s="2">
        <v>3.5999999999999999E-3</v>
      </c>
      <c r="C47" s="2">
        <f t="shared" si="14"/>
        <v>4.15E-3</v>
      </c>
      <c r="D47" s="2">
        <v>5.4000000000000003E-3</v>
      </c>
      <c r="E47" s="17">
        <f t="shared" si="15"/>
        <v>1.5644394707392535E-3</v>
      </c>
      <c r="F47" s="2">
        <v>5.1400000000000001E-2</v>
      </c>
      <c r="H47" s="13">
        <v>1.65</v>
      </c>
      <c r="I47" s="13">
        <v>1256</v>
      </c>
      <c r="K47" s="16">
        <f>C47-((H47/100)*(F47+D47+C47))</f>
        <v>3.1443249999999999E-3</v>
      </c>
      <c r="L47" s="16">
        <f t="shared" si="16"/>
        <v>1.4878862707392534E-3</v>
      </c>
      <c r="M47">
        <f t="shared" si="17"/>
        <v>1.7449084350721421E-4</v>
      </c>
      <c r="N47">
        <f t="shared" si="18"/>
        <v>3.3815597062255757E-5</v>
      </c>
      <c r="O47" s="18">
        <f t="shared" si="19"/>
        <v>0.83766417893844092</v>
      </c>
      <c r="P47" s="18">
        <f t="shared" si="20"/>
        <v>0.16233582106155903</v>
      </c>
      <c r="Q47" s="21"/>
      <c r="R47" s="23">
        <v>1.1000000000000001E-3</v>
      </c>
      <c r="S47">
        <v>1.6999999999999999E-3</v>
      </c>
      <c r="T47">
        <f t="shared" si="4"/>
        <v>6.1043285238623755E-5</v>
      </c>
      <c r="U47">
        <f t="shared" si="5"/>
        <v>3.8636363636363636E-5</v>
      </c>
      <c r="V47" s="18">
        <f t="shared" si="6"/>
        <v>0.61239466558696265</v>
      </c>
      <c r="W47" s="18">
        <f t="shared" si="7"/>
        <v>0.38760533441303746</v>
      </c>
      <c r="AA47" s="18"/>
    </row>
    <row r="48" spans="1:27">
      <c r="A48" s="4" t="s">
        <v>46</v>
      </c>
      <c r="B48" s="2">
        <v>2.2000000000000001E-3</v>
      </c>
      <c r="C48" s="2">
        <f t="shared" si="14"/>
        <v>2.7500000000000003E-3</v>
      </c>
      <c r="D48" s="2">
        <v>0.01</v>
      </c>
      <c r="E48" s="17">
        <f t="shared" si="15"/>
        <v>2.8971101309986174E-3</v>
      </c>
      <c r="F48" s="2">
        <v>5.1499999999999997E-2</v>
      </c>
      <c r="H48" s="13">
        <v>2.79</v>
      </c>
      <c r="I48" s="11">
        <v>2798</v>
      </c>
      <c r="K48" s="16">
        <f>C48-((H48/100)*(F48+D48+C48))</f>
        <v>9.5742500000000025E-4</v>
      </c>
      <c r="L48" s="16">
        <f t="shared" si="16"/>
        <v>2.7173386309986172E-3</v>
      </c>
      <c r="M48">
        <f t="shared" si="17"/>
        <v>5.3131243063263056E-5</v>
      </c>
      <c r="N48">
        <f t="shared" si="18"/>
        <v>6.1757696159059488E-5</v>
      </c>
      <c r="O48" s="18">
        <f t="shared" si="19"/>
        <v>0.46245742560516068</v>
      </c>
      <c r="P48" s="18">
        <f t="shared" si="20"/>
        <v>0.53754257439483932</v>
      </c>
      <c r="Q48" s="21"/>
      <c r="R48" s="23">
        <f>0.8736-0.8726</f>
        <v>1.0000000000000009E-3</v>
      </c>
      <c r="S48">
        <f>0.8762-0.8736</f>
        <v>2.5999999999999357E-3</v>
      </c>
      <c r="T48">
        <f t="shared" si="4"/>
        <v>5.5493895671476187E-5</v>
      </c>
      <c r="U48">
        <f t="shared" si="5"/>
        <v>5.9090909090907626E-5</v>
      </c>
      <c r="V48" s="18">
        <f t="shared" si="6"/>
        <v>0.48430414300181157</v>
      </c>
      <c r="W48" s="18">
        <f t="shared" si="7"/>
        <v>0.51569585699818843</v>
      </c>
      <c r="AA48" s="18"/>
    </row>
    <row r="49" spans="1:27">
      <c r="A49" s="4" t="s">
        <v>47</v>
      </c>
      <c r="B49" s="2">
        <v>1E-3</v>
      </c>
      <c r="C49" s="2">
        <f t="shared" si="14"/>
        <v>1.5500000000000002E-3</v>
      </c>
      <c r="D49" s="2">
        <v>1.35E-2</v>
      </c>
      <c r="E49" s="17">
        <f t="shared" si="15"/>
        <v>3.911098676848134E-3</v>
      </c>
      <c r="F49" s="2">
        <v>5.0700000000000002E-2</v>
      </c>
      <c r="H49" s="13">
        <v>2.13</v>
      </c>
      <c r="I49" s="12"/>
      <c r="K49" s="16">
        <f>C49-((H49/100)*(F49+D49+C49))</f>
        <v>1.4952500000000018E-4</v>
      </c>
      <c r="L49" s="16">
        <f t="shared" si="16"/>
        <v>3.911098676848134E-3</v>
      </c>
      <c r="M49">
        <f t="shared" si="17"/>
        <v>8.2977247502774791E-6</v>
      </c>
      <c r="N49">
        <f t="shared" si="18"/>
        <v>8.8888606292003046E-5</v>
      </c>
      <c r="O49" s="18">
        <f t="shared" si="19"/>
        <v>8.5379545264113191E-2</v>
      </c>
      <c r="P49" s="18">
        <f t="shared" si="20"/>
        <v>0.91462045473588671</v>
      </c>
      <c r="Q49" s="21"/>
      <c r="R49" s="23">
        <f>0.8802-0.8797</f>
        <v>4.9999999999994493E-4</v>
      </c>
      <c r="S49">
        <f>0.8837-0.8802</f>
        <v>3.5000000000000586E-3</v>
      </c>
      <c r="T49">
        <f t="shared" si="4"/>
        <v>2.7746947835735014E-5</v>
      </c>
      <c r="U49">
        <f t="shared" si="5"/>
        <v>7.9545454545455879E-5</v>
      </c>
      <c r="V49" s="18">
        <f t="shared" si="6"/>
        <v>0.25861055601267108</v>
      </c>
      <c r="W49" s="18">
        <f t="shared" si="7"/>
        <v>0.74138944398732887</v>
      </c>
      <c r="AA49" s="18"/>
    </row>
    <row r="50" spans="1:27">
      <c r="A50" s="4" t="s">
        <v>48</v>
      </c>
      <c r="B50" s="2">
        <v>0</v>
      </c>
      <c r="C50" s="2">
        <f t="shared" si="14"/>
        <v>5.5000000000000003E-4</v>
      </c>
      <c r="D50" s="2">
        <v>1.72E-2</v>
      </c>
      <c r="E50" s="17">
        <f t="shared" si="15"/>
        <v>4.9830294253176222E-3</v>
      </c>
      <c r="F50" s="2">
        <v>5.0299999999999997E-2</v>
      </c>
      <c r="H50" s="13">
        <v>1.1100000000000001</v>
      </c>
      <c r="I50" s="13">
        <v>2628</v>
      </c>
      <c r="K50" s="16">
        <v>0</v>
      </c>
      <c r="L50" s="16">
        <f t="shared" si="16"/>
        <v>4.8041940253176225E-3</v>
      </c>
      <c r="M50">
        <f t="shared" si="17"/>
        <v>0</v>
      </c>
      <c r="N50">
        <f t="shared" si="18"/>
        <v>1.0918622784812778E-4</v>
      </c>
      <c r="O50" s="18">
        <f t="shared" si="19"/>
        <v>0</v>
      </c>
      <c r="P50" s="18">
        <f t="shared" si="20"/>
        <v>1</v>
      </c>
      <c r="Q50" s="21"/>
      <c r="R50" s="23">
        <f>0.8578-0.8575</f>
        <v>2.9999999999996696E-4</v>
      </c>
      <c r="S50">
        <f>0.8624-0.8578</f>
        <v>4.6000000000000485E-3</v>
      </c>
      <c r="T50">
        <f t="shared" si="4"/>
        <v>1.6648168701441008E-5</v>
      </c>
      <c r="U50">
        <f t="shared" si="5"/>
        <v>1.0454545454545565E-4</v>
      </c>
      <c r="V50" s="18">
        <f t="shared" si="6"/>
        <v>0.13736835532613148</v>
      </c>
      <c r="W50" s="18">
        <f t="shared" si="7"/>
        <v>0.86263164467386855</v>
      </c>
      <c r="AA50" s="18"/>
    </row>
    <row r="51" spans="1:27">
      <c r="A51" s="4" t="s">
        <v>50</v>
      </c>
      <c r="B51" s="2">
        <v>4.8999999999999998E-3</v>
      </c>
      <c r="C51" s="2">
        <f>B51+0.00055</f>
        <v>5.45E-3</v>
      </c>
      <c r="D51" s="2">
        <v>0</v>
      </c>
      <c r="E51" s="17">
        <f>D51*(88.02/(88.02+215.8))</f>
        <v>0</v>
      </c>
      <c r="F51" s="2">
        <v>5.0700000000000002E-2</v>
      </c>
      <c r="H51" s="13"/>
      <c r="I51" s="11">
        <v>0</v>
      </c>
      <c r="L51" s="16">
        <f>E51-((I51/1000000)*(F51+D51+C51))</f>
        <v>0</v>
      </c>
      <c r="O51" s="18"/>
      <c r="P51" s="18"/>
      <c r="Q51" s="21"/>
      <c r="R51" s="23">
        <f>0.6293-0.627</f>
        <v>2.2999999999999687E-3</v>
      </c>
      <c r="S51">
        <f>0.6292-0.6292</f>
        <v>0</v>
      </c>
      <c r="T51">
        <f t="shared" si="4"/>
        <v>1.276359600443934E-4</v>
      </c>
      <c r="U51">
        <f t="shared" si="5"/>
        <v>0</v>
      </c>
      <c r="V51" s="18">
        <f t="shared" si="6"/>
        <v>1</v>
      </c>
      <c r="W51" s="18">
        <f t="shared" si="7"/>
        <v>0</v>
      </c>
      <c r="AA51" s="18"/>
    </row>
    <row r="52" spans="1:27">
      <c r="A52" s="4" t="s">
        <v>49</v>
      </c>
      <c r="B52" s="2">
        <v>3.5999999999999999E-3</v>
      </c>
      <c r="C52" s="2">
        <f t="shared" si="14"/>
        <v>4.15E-3</v>
      </c>
      <c r="D52" s="2">
        <v>5.5999999999999999E-3</v>
      </c>
      <c r="E52" s="17">
        <f t="shared" si="15"/>
        <v>1.6223816733592258E-3</v>
      </c>
      <c r="F52" s="2">
        <v>5.1499999999999997E-2</v>
      </c>
      <c r="H52" s="13"/>
      <c r="I52" s="11"/>
      <c r="O52" s="18"/>
      <c r="P52" s="18"/>
      <c r="Q52" s="21"/>
      <c r="R52" s="23">
        <f>0.5685-0.5661</f>
        <v>2.3999999999999577E-3</v>
      </c>
      <c r="S52">
        <f>0.5697-0.5685</f>
        <v>1.1999999999999789E-3</v>
      </c>
      <c r="T52">
        <f t="shared" si="4"/>
        <v>1.3318534961154039E-4</v>
      </c>
      <c r="U52">
        <f t="shared" si="5"/>
        <v>2.7272727272726792E-5</v>
      </c>
      <c r="V52" s="18">
        <f t="shared" si="6"/>
        <v>0.83003206942086394</v>
      </c>
      <c r="W52" s="18">
        <f t="shared" si="7"/>
        <v>0.16996793057913598</v>
      </c>
      <c r="AA52" s="18"/>
    </row>
    <row r="53" spans="1:27">
      <c r="A53" s="4" t="s">
        <v>51</v>
      </c>
      <c r="B53" s="2">
        <v>2.3E-3</v>
      </c>
      <c r="C53" s="2">
        <f t="shared" si="14"/>
        <v>2.8500000000000001E-3</v>
      </c>
      <c r="D53" s="2">
        <v>1.0200000000000001E-2</v>
      </c>
      <c r="E53" s="17">
        <f t="shared" si="15"/>
        <v>2.9550523336185899E-3</v>
      </c>
      <c r="F53" s="2">
        <v>5.0900000000000001E-2</v>
      </c>
      <c r="H53" s="13"/>
      <c r="I53" s="11"/>
      <c r="O53" s="18"/>
      <c r="P53" s="18"/>
      <c r="Q53" s="21"/>
      <c r="R53" s="23">
        <f>0.5812-0.5803</f>
        <v>9.000000000000119E-4</v>
      </c>
      <c r="S53">
        <f>0.5841-0.5812</f>
        <v>2.8999999999999027E-3</v>
      </c>
      <c r="T53">
        <f t="shared" si="4"/>
        <v>4.9944506104329183E-5</v>
      </c>
      <c r="U53">
        <f t="shared" si="5"/>
        <v>6.5909090909088697E-5</v>
      </c>
      <c r="V53" s="18">
        <f t="shared" si="6"/>
        <v>0.43110017635917453</v>
      </c>
      <c r="W53" s="18">
        <f t="shared" si="7"/>
        <v>0.56889982364082547</v>
      </c>
      <c r="AA53" s="18"/>
    </row>
    <row r="54" spans="1:27">
      <c r="A54" s="4" t="s">
        <v>52</v>
      </c>
      <c r="B54" s="2">
        <v>1E-3</v>
      </c>
      <c r="C54" s="2">
        <f t="shared" si="14"/>
        <v>1.5500000000000002E-3</v>
      </c>
      <c r="D54" s="2">
        <v>1.37E-2</v>
      </c>
      <c r="E54" s="17">
        <f t="shared" si="15"/>
        <v>3.969040879468106E-3</v>
      </c>
      <c r="F54" s="2">
        <v>5.1799999999999999E-2</v>
      </c>
      <c r="H54" s="13">
        <v>1.8</v>
      </c>
      <c r="I54" s="12"/>
      <c r="K54" s="16">
        <f>C54-((H54/100)*(F54+D54+C54))</f>
        <v>3.4310000000000005E-4</v>
      </c>
      <c r="L54" s="16">
        <f t="shared" si="16"/>
        <v>3.969040879468106E-3</v>
      </c>
      <c r="M54">
        <f t="shared" si="17"/>
        <v>1.9039955604883467E-5</v>
      </c>
      <c r="N54">
        <f t="shared" si="18"/>
        <v>9.0205474533366047E-5</v>
      </c>
      <c r="O54" s="18">
        <f t="shared" si="19"/>
        <v>0.17428606011975517</v>
      </c>
      <c r="P54" s="18">
        <f t="shared" si="20"/>
        <v>0.82571393988024488</v>
      </c>
      <c r="Q54" s="21"/>
      <c r="R54" s="23">
        <f>0.5803-0.5796</f>
        <v>7.0000000000003393E-4</v>
      </c>
      <c r="S54">
        <f>0.5839-0.5803</f>
        <v>3.5999999999999366E-3</v>
      </c>
      <c r="T54">
        <f t="shared" si="4"/>
        <v>3.884572697003518E-5</v>
      </c>
      <c r="U54">
        <f t="shared" si="5"/>
        <v>8.1818181818180379E-5</v>
      </c>
      <c r="V54" s="18">
        <f t="shared" si="6"/>
        <v>0.32193327201272454</v>
      </c>
      <c r="W54" s="18">
        <f t="shared" si="7"/>
        <v>0.67806672798727552</v>
      </c>
      <c r="AA54" s="18"/>
    </row>
    <row r="55" spans="1:27">
      <c r="A55" s="4" t="s">
        <v>53</v>
      </c>
      <c r="B55" s="2">
        <v>0</v>
      </c>
      <c r="C55" s="2">
        <f t="shared" si="14"/>
        <v>5.5000000000000003E-4</v>
      </c>
      <c r="D55" s="2">
        <v>1.77E-2</v>
      </c>
      <c r="E55" s="17">
        <f t="shared" si="15"/>
        <v>5.1278849318675528E-3</v>
      </c>
      <c r="F55" s="2">
        <v>5.0099999999999999E-2</v>
      </c>
      <c r="H55" s="13">
        <v>0.59</v>
      </c>
      <c r="I55" s="12"/>
      <c r="K55" s="16">
        <v>0</v>
      </c>
      <c r="L55" s="16">
        <f t="shared" si="16"/>
        <v>5.1278849318675528E-3</v>
      </c>
      <c r="M55">
        <f t="shared" si="17"/>
        <v>0</v>
      </c>
      <c r="N55">
        <f t="shared" si="18"/>
        <v>1.1654283936062621E-4</v>
      </c>
      <c r="O55" s="18">
        <f t="shared" si="19"/>
        <v>0</v>
      </c>
      <c r="P55" s="18">
        <f t="shared" si="20"/>
        <v>1</v>
      </c>
      <c r="Q55" s="21"/>
      <c r="R55" s="23">
        <f>0.5844-0.5839</f>
        <v>5.0000000000005596E-4</v>
      </c>
      <c r="S55">
        <f>0.5891-0.5844</f>
        <v>4.6999999999999265E-3</v>
      </c>
      <c r="T55">
        <f t="shared" si="4"/>
        <v>2.7746947835741174E-5</v>
      </c>
      <c r="U55">
        <f t="shared" si="5"/>
        <v>1.0681818181818015E-4</v>
      </c>
      <c r="V55" s="18">
        <f t="shared" si="6"/>
        <v>0.2061971619772642</v>
      </c>
      <c r="W55" s="18">
        <f t="shared" si="7"/>
        <v>0.79380283802273577</v>
      </c>
      <c r="AA55" s="18"/>
    </row>
    <row r="56" spans="1:27">
      <c r="A56" s="4" t="s">
        <v>54</v>
      </c>
      <c r="B56" s="2">
        <v>0</v>
      </c>
      <c r="C56" s="2">
        <f t="shared" si="14"/>
        <v>5.5000000000000003E-4</v>
      </c>
      <c r="D56" s="2">
        <v>1.7899999999999999E-2</v>
      </c>
      <c r="E56" s="17">
        <f t="shared" si="15"/>
        <v>5.1858271344875249E-3</v>
      </c>
      <c r="F56" s="2">
        <v>5.0200000000000002E-2</v>
      </c>
      <c r="H56" s="13"/>
      <c r="I56" s="12"/>
      <c r="O56" s="18"/>
      <c r="P56" s="18"/>
      <c r="Q56" s="21"/>
      <c r="R56" s="23">
        <f>0.5923-0.592</f>
        <v>3.0000000000007798E-4</v>
      </c>
      <c r="S56">
        <f>0.5972-0.5923</f>
        <v>4.8999999999999044E-3</v>
      </c>
      <c r="T56">
        <f t="shared" si="4"/>
        <v>1.6648168701447171E-5</v>
      </c>
      <c r="U56">
        <f t="shared" si="5"/>
        <v>1.1136363636363419E-4</v>
      </c>
      <c r="V56" s="18">
        <f t="shared" si="6"/>
        <v>0.13005182368128643</v>
      </c>
      <c r="W56" s="18">
        <f t="shared" si="7"/>
        <v>0.86994817631871357</v>
      </c>
      <c r="AA56" s="18"/>
    </row>
    <row r="57" spans="1:27">
      <c r="A57" s="4" t="s">
        <v>55</v>
      </c>
      <c r="B57" s="2">
        <v>1E-3</v>
      </c>
      <c r="C57" s="2">
        <f t="shared" si="14"/>
        <v>1.5500000000000002E-3</v>
      </c>
      <c r="D57" s="2">
        <v>1.41E-2</v>
      </c>
      <c r="E57" s="17">
        <f t="shared" si="15"/>
        <v>4.0849252847080502E-3</v>
      </c>
      <c r="F57" s="2">
        <v>5.2200000000000003E-2</v>
      </c>
      <c r="H57" s="13"/>
      <c r="I57" s="12"/>
      <c r="O57" s="18"/>
      <c r="P57" s="18"/>
      <c r="Q57" s="21"/>
      <c r="R57" s="23">
        <f>0.5792-0.5785</f>
        <v>7.0000000000003393E-4</v>
      </c>
      <c r="S57">
        <f>0.583-0.5792</f>
        <v>3.7999999999999146E-3</v>
      </c>
      <c r="T57">
        <f t="shared" si="4"/>
        <v>3.884572697003518E-5</v>
      </c>
      <c r="U57">
        <f t="shared" si="5"/>
        <v>8.6363636363634422E-5</v>
      </c>
      <c r="V57" s="18">
        <f t="shared" si="6"/>
        <v>0.31024618236030366</v>
      </c>
      <c r="W57" s="18">
        <f t="shared" si="7"/>
        <v>0.68975381763969623</v>
      </c>
      <c r="AA57" s="18"/>
    </row>
    <row r="58" spans="1:27">
      <c r="A58" s="4" t="s">
        <v>56</v>
      </c>
      <c r="B58" s="2">
        <v>2.3E-3</v>
      </c>
      <c r="C58" s="2">
        <f t="shared" si="14"/>
        <v>2.8500000000000001E-3</v>
      </c>
      <c r="D58" s="2">
        <v>9.5999999999999992E-3</v>
      </c>
      <c r="E58" s="17">
        <f t="shared" si="15"/>
        <v>2.7812257257586724E-3</v>
      </c>
      <c r="F58" s="2">
        <v>4.9700000000000001E-2</v>
      </c>
      <c r="H58" s="13">
        <v>2.72</v>
      </c>
      <c r="I58" s="12"/>
      <c r="K58" s="16">
        <f t="shared" ref="K58:K63" si="27">C58-((H58/100)*(F58+D58+C58))</f>
        <v>1.15952E-3</v>
      </c>
      <c r="L58" s="16">
        <f t="shared" si="16"/>
        <v>2.7812257257586724E-3</v>
      </c>
      <c r="M58">
        <f t="shared" si="17"/>
        <v>6.4346281908990018E-5</v>
      </c>
      <c r="N58">
        <f t="shared" si="18"/>
        <v>6.3209675585424366E-5</v>
      </c>
      <c r="O58" s="18">
        <f t="shared" si="19"/>
        <v>0.5044553243372244</v>
      </c>
      <c r="P58" s="18">
        <f t="shared" si="20"/>
        <v>0.4955446756627756</v>
      </c>
      <c r="Q58" s="21"/>
      <c r="R58" s="23">
        <f>0.5878-0.5863</f>
        <v>1.4999999999999458E-3</v>
      </c>
      <c r="S58">
        <f>0.5903-0.5878</f>
        <v>2.5000000000000577E-3</v>
      </c>
      <c r="T58">
        <f t="shared" si="4"/>
        <v>8.3240843507211205E-5</v>
      </c>
      <c r="U58">
        <f t="shared" si="5"/>
        <v>5.6818181818183133E-5</v>
      </c>
      <c r="V58" s="18">
        <f t="shared" si="6"/>
        <v>0.59432687978386689</v>
      </c>
      <c r="W58" s="18">
        <f t="shared" si="7"/>
        <v>0.40567312021613317</v>
      </c>
      <c r="AA58" s="18"/>
    </row>
    <row r="59" spans="1:27">
      <c r="A59" s="4" t="s">
        <v>57</v>
      </c>
      <c r="B59" s="2">
        <v>3.5000000000000001E-3</v>
      </c>
      <c r="C59" s="2">
        <f t="shared" si="14"/>
        <v>4.0499999999999998E-3</v>
      </c>
      <c r="D59" s="2">
        <v>5.7999999999999996E-3</v>
      </c>
      <c r="E59" s="17">
        <f t="shared" si="15"/>
        <v>1.6803238759791981E-3</v>
      </c>
      <c r="F59" s="2">
        <v>5.0799999999999998E-2</v>
      </c>
      <c r="H59" s="13">
        <v>3.05</v>
      </c>
      <c r="I59" s="13">
        <v>1601</v>
      </c>
      <c r="K59" s="16">
        <f t="shared" si="27"/>
        <v>2.200175E-3</v>
      </c>
      <c r="L59" s="16">
        <f t="shared" si="16"/>
        <v>1.5832232259791982E-3</v>
      </c>
      <c r="M59">
        <f t="shared" si="17"/>
        <v>1.2209628190899E-4</v>
      </c>
      <c r="N59">
        <f t="shared" si="18"/>
        <v>3.5982346044981775E-5</v>
      </c>
      <c r="O59" s="18">
        <f t="shared" si="19"/>
        <v>0.77237690818357263</v>
      </c>
      <c r="P59" s="18">
        <f t="shared" si="20"/>
        <v>0.22762309181642734</v>
      </c>
      <c r="Q59" s="21"/>
      <c r="R59" s="23">
        <f>0.5909-0.5885</f>
        <v>2.3999999999999577E-3</v>
      </c>
      <c r="S59">
        <f>0.5924-0.5909</f>
        <v>1.5000000000000568E-3</v>
      </c>
      <c r="T59">
        <f t="shared" si="4"/>
        <v>1.3318534961154039E-4</v>
      </c>
      <c r="U59">
        <f t="shared" si="5"/>
        <v>3.409090909091038E-5</v>
      </c>
      <c r="V59" s="18">
        <f t="shared" si="6"/>
        <v>0.7961999547613573</v>
      </c>
      <c r="W59" s="18">
        <f t="shared" si="7"/>
        <v>0.20380004523864279</v>
      </c>
      <c r="AA59" s="18"/>
    </row>
    <row r="60" spans="1:27">
      <c r="A60" s="4" t="s">
        <v>58</v>
      </c>
      <c r="B60" s="2">
        <v>5.1000000000000004E-3</v>
      </c>
      <c r="C60" s="2">
        <f t="shared" si="14"/>
        <v>5.6500000000000005E-3</v>
      </c>
      <c r="D60" s="2">
        <v>0</v>
      </c>
      <c r="E60" s="17">
        <f t="shared" si="15"/>
        <v>0</v>
      </c>
      <c r="F60" s="2">
        <v>5.2299999999999999E-2</v>
      </c>
      <c r="H60" s="13">
        <v>1.86</v>
      </c>
      <c r="I60" s="11">
        <v>0</v>
      </c>
      <c r="K60" s="16">
        <f t="shared" si="27"/>
        <v>4.5721300000000006E-3</v>
      </c>
      <c r="L60" s="16">
        <f t="shared" si="16"/>
        <v>0</v>
      </c>
      <c r="M60">
        <f t="shared" si="17"/>
        <v>2.5372530521642624E-4</v>
      </c>
      <c r="N60">
        <f t="shared" si="18"/>
        <v>0</v>
      </c>
      <c r="O60" s="18">
        <f t="shared" si="19"/>
        <v>1</v>
      </c>
      <c r="P60" s="18">
        <f t="shared" si="20"/>
        <v>0</v>
      </c>
      <c r="Q60" s="21"/>
      <c r="R60" s="23">
        <v>3.3E-3</v>
      </c>
      <c r="S60">
        <v>0</v>
      </c>
      <c r="T60">
        <f t="shared" si="4"/>
        <v>1.8312985571587126E-4</v>
      </c>
      <c r="U60">
        <f t="shared" si="5"/>
        <v>0</v>
      </c>
      <c r="V60" s="18">
        <f t="shared" si="6"/>
        <v>1</v>
      </c>
      <c r="W60" s="18">
        <f t="shared" si="7"/>
        <v>0</v>
      </c>
      <c r="AA60" s="18"/>
    </row>
    <row r="61" spans="1:27">
      <c r="A61" s="4" t="s">
        <v>59</v>
      </c>
      <c r="B61" s="2">
        <v>2.3999999999999998E-3</v>
      </c>
      <c r="C61" s="2">
        <f t="shared" si="14"/>
        <v>2.9499999999999999E-3</v>
      </c>
      <c r="D61" s="2">
        <v>9.7000000000000003E-3</v>
      </c>
      <c r="E61" s="17">
        <f t="shared" si="15"/>
        <v>2.8101968270686588E-3</v>
      </c>
      <c r="F61" s="2">
        <v>5.21E-2</v>
      </c>
      <c r="H61" s="13">
        <v>3.38</v>
      </c>
      <c r="I61" s="12"/>
      <c r="K61" s="16">
        <f t="shared" si="27"/>
        <v>7.6144999999999989E-4</v>
      </c>
      <c r="L61" s="16">
        <f t="shared" si="16"/>
        <v>2.8101968270686588E-3</v>
      </c>
      <c r="M61">
        <f t="shared" si="17"/>
        <v>4.2255826859045501E-5</v>
      </c>
      <c r="N61">
        <f t="shared" si="18"/>
        <v>6.3868109706105886E-5</v>
      </c>
      <c r="O61" s="18">
        <f t="shared" si="19"/>
        <v>0.39817432547937848</v>
      </c>
      <c r="P61" s="18">
        <f t="shared" si="20"/>
        <v>0.60182567452062152</v>
      </c>
      <c r="Q61" s="21"/>
      <c r="R61" s="23">
        <f>0.6672-0.6661</f>
        <v>1.0999999999999899E-3</v>
      </c>
      <c r="S61">
        <f>0.6696-0.6672</f>
        <v>2.3999999999999577E-3</v>
      </c>
      <c r="T61">
        <f t="shared" si="4"/>
        <v>6.1043285238623186E-5</v>
      </c>
      <c r="U61">
        <f t="shared" si="5"/>
        <v>5.4545454545453584E-5</v>
      </c>
      <c r="V61" s="18">
        <f t="shared" si="6"/>
        <v>0.52810754189944342</v>
      </c>
      <c r="W61" s="18">
        <f t="shared" si="7"/>
        <v>0.47189245810055658</v>
      </c>
      <c r="AA61" s="18"/>
    </row>
    <row r="62" spans="1:27">
      <c r="A62" s="4" t="s">
        <v>60</v>
      </c>
      <c r="B62" s="2">
        <v>3.7000000000000002E-3</v>
      </c>
      <c r="C62" s="2">
        <f t="shared" si="14"/>
        <v>4.2500000000000003E-3</v>
      </c>
      <c r="D62" s="2">
        <v>6.1000000000000004E-3</v>
      </c>
      <c r="E62" s="17">
        <f t="shared" si="15"/>
        <v>1.7672371799091569E-3</v>
      </c>
      <c r="F62" s="2">
        <v>5.1200000000000002E-2</v>
      </c>
      <c r="H62" s="13">
        <v>3.56</v>
      </c>
      <c r="I62" s="12"/>
      <c r="K62" s="16">
        <f t="shared" si="27"/>
        <v>2.0588200000000003E-3</v>
      </c>
      <c r="L62" s="16">
        <f t="shared" si="16"/>
        <v>1.7672371799091569E-3</v>
      </c>
      <c r="M62">
        <f t="shared" si="17"/>
        <v>1.1425194228634852E-4</v>
      </c>
      <c r="N62">
        <f t="shared" si="18"/>
        <v>4.0164481361571747E-5</v>
      </c>
      <c r="O62" s="18">
        <f t="shared" si="19"/>
        <v>0.73989501626362342</v>
      </c>
      <c r="P62" s="18">
        <f t="shared" si="20"/>
        <v>0.26010498373637664</v>
      </c>
      <c r="Q62" s="21"/>
      <c r="R62" s="23">
        <f>0.6688-0.6664</f>
        <v>2.3999999999999577E-3</v>
      </c>
      <c r="S62">
        <f>0.6703-0.6688</f>
        <v>1.5000000000000568E-3</v>
      </c>
      <c r="T62">
        <f t="shared" si="4"/>
        <v>1.3318534961154039E-4</v>
      </c>
      <c r="U62">
        <f t="shared" si="5"/>
        <v>3.409090909091038E-5</v>
      </c>
      <c r="V62" s="18">
        <f t="shared" si="6"/>
        <v>0.7961999547613573</v>
      </c>
      <c r="W62" s="18">
        <f t="shared" si="7"/>
        <v>0.20380004523864279</v>
      </c>
      <c r="AA62" s="18"/>
    </row>
    <row r="63" spans="1:27">
      <c r="A63" s="4" t="s">
        <v>61</v>
      </c>
      <c r="B63" s="2">
        <v>5.1000000000000004E-3</v>
      </c>
      <c r="C63" s="2">
        <f t="shared" si="14"/>
        <v>5.6500000000000005E-3</v>
      </c>
      <c r="D63" s="2">
        <v>0</v>
      </c>
      <c r="E63" s="17">
        <f t="shared" si="15"/>
        <v>0</v>
      </c>
      <c r="F63" s="2">
        <v>5.0299999999999997E-2</v>
      </c>
      <c r="H63" s="13">
        <v>4.0599999999999996</v>
      </c>
      <c r="K63" s="16">
        <f t="shared" si="27"/>
        <v>3.3784300000000008E-3</v>
      </c>
      <c r="M63">
        <f t="shared" si="17"/>
        <v>1.8748224195338519E-4</v>
      </c>
      <c r="R63" s="23">
        <f>0.5847-0.581</f>
        <v>3.7000000000000366E-3</v>
      </c>
      <c r="S63">
        <f>0.5847-0.5847</f>
        <v>0</v>
      </c>
      <c r="T63">
        <f t="shared" si="4"/>
        <v>2.0532741398446376E-4</v>
      </c>
      <c r="U63">
        <f t="shared" si="5"/>
        <v>0</v>
      </c>
      <c r="V63" s="18">
        <f t="shared" si="6"/>
        <v>1</v>
      </c>
      <c r="W63" s="18">
        <f t="shared" si="7"/>
        <v>0</v>
      </c>
      <c r="AA63" s="18"/>
    </row>
    <row r="64" spans="1:27">
      <c r="AA64" s="18"/>
    </row>
    <row r="65" spans="1:27">
      <c r="AA65" s="18"/>
    </row>
    <row r="66" spans="1:27">
      <c r="AA66" s="18"/>
    </row>
    <row r="67" spans="1:27">
      <c r="AA67" s="18"/>
    </row>
    <row r="68" spans="1:27">
      <c r="AA68" s="18"/>
    </row>
    <row r="69" spans="1:27">
      <c r="AA69" s="18"/>
    </row>
    <row r="70" spans="1:27">
      <c r="AA70" s="18"/>
    </row>
    <row r="71" spans="1:27">
      <c r="AA71" s="18"/>
    </row>
    <row r="72" spans="1:27">
      <c r="AA72" s="18"/>
    </row>
    <row r="73" spans="1:27">
      <c r="AA73" s="18"/>
    </row>
    <row r="74" spans="1:27">
      <c r="AA74" s="18"/>
    </row>
    <row r="75" spans="1:27">
      <c r="A75" s="2" t="s">
        <v>79</v>
      </c>
      <c r="AA75" s="18"/>
    </row>
    <row r="76" spans="1:27">
      <c r="A76" s="2" t="s">
        <v>80</v>
      </c>
      <c r="B76" s="2" t="s">
        <v>81</v>
      </c>
      <c r="AA76" s="18"/>
    </row>
    <row r="77" spans="1:27">
      <c r="A77" s="2">
        <v>0</v>
      </c>
      <c r="B77" s="2">
        <f>A77</f>
        <v>0</v>
      </c>
      <c r="AA77" s="18"/>
    </row>
    <row r="78" spans="1:27">
      <c r="A78" s="2">
        <v>1.0000000000000001E-5</v>
      </c>
      <c r="B78" s="2">
        <f t="shared" ref="B78:B92" si="28">A78</f>
        <v>1.0000000000000001E-5</v>
      </c>
      <c r="AA78" s="18"/>
    </row>
    <row r="79" spans="1:27">
      <c r="A79" s="2">
        <v>1E-4</v>
      </c>
      <c r="B79" s="2">
        <f t="shared" si="28"/>
        <v>1E-4</v>
      </c>
      <c r="AA79" s="18"/>
    </row>
    <row r="80" spans="1:27">
      <c r="A80" s="3">
        <v>1E-3</v>
      </c>
      <c r="B80" s="2">
        <f t="shared" si="28"/>
        <v>1E-3</v>
      </c>
      <c r="AA80" s="18"/>
    </row>
    <row r="81" spans="1:27">
      <c r="A81" s="3">
        <v>0.01</v>
      </c>
      <c r="B81" s="2">
        <f t="shared" si="28"/>
        <v>0.01</v>
      </c>
      <c r="AA81" s="18"/>
    </row>
    <row r="82" spans="1:27">
      <c r="A82" s="3">
        <v>0.1</v>
      </c>
      <c r="B82" s="2">
        <f t="shared" si="28"/>
        <v>0.1</v>
      </c>
    </row>
    <row r="83" spans="1:27">
      <c r="A83" s="3">
        <v>1</v>
      </c>
      <c r="B83" s="2">
        <f t="shared" si="28"/>
        <v>1</v>
      </c>
    </row>
    <row r="84" spans="1:27">
      <c r="A84" s="3">
        <v>2</v>
      </c>
      <c r="B84" s="3">
        <f t="shared" si="28"/>
        <v>2</v>
      </c>
    </row>
    <row r="85" spans="1:27">
      <c r="A85" s="3">
        <v>3</v>
      </c>
      <c r="B85" s="3">
        <f t="shared" si="28"/>
        <v>3</v>
      </c>
    </row>
    <row r="86" spans="1:27">
      <c r="A86" s="3">
        <v>4</v>
      </c>
      <c r="B86" s="3">
        <f t="shared" si="28"/>
        <v>4</v>
      </c>
    </row>
    <row r="87" spans="1:27">
      <c r="A87" s="3">
        <v>5</v>
      </c>
      <c r="B87" s="3">
        <f t="shared" si="28"/>
        <v>5</v>
      </c>
    </row>
    <row r="88" spans="1:27">
      <c r="A88" s="3">
        <v>6</v>
      </c>
      <c r="B88" s="3">
        <f t="shared" si="28"/>
        <v>6</v>
      </c>
    </row>
    <row r="89" spans="1:27">
      <c r="A89" s="3">
        <v>7</v>
      </c>
      <c r="B89" s="3">
        <f t="shared" si="28"/>
        <v>7</v>
      </c>
    </row>
    <row r="90" spans="1:27">
      <c r="A90" s="3">
        <v>8</v>
      </c>
      <c r="B90" s="3">
        <f t="shared" si="28"/>
        <v>8</v>
      </c>
    </row>
    <row r="91" spans="1:27">
      <c r="A91" s="3">
        <v>9</v>
      </c>
      <c r="B91" s="3">
        <f t="shared" si="28"/>
        <v>9</v>
      </c>
    </row>
    <row r="92" spans="1:27">
      <c r="A92" s="3">
        <v>10</v>
      </c>
      <c r="B92" s="3">
        <f t="shared" si="28"/>
        <v>10</v>
      </c>
    </row>
  </sheetData>
  <mergeCells count="4">
    <mergeCell ref="B1:F1"/>
    <mergeCell ref="H1:I1"/>
    <mergeCell ref="K1:P1"/>
    <mergeCell ref="R1:W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3"/>
  <sheetViews>
    <sheetView tabSelected="1" topLeftCell="A2" workbookViewId="0">
      <selection activeCell="B29" sqref="B29"/>
    </sheetView>
  </sheetViews>
  <sheetFormatPr baseColWidth="10" defaultColWidth="10.875" defaultRowHeight="15.75"/>
  <cols>
    <col min="1" max="1" width="9" style="30" bestFit="1" customWidth="1"/>
    <col min="2" max="2" width="23.625" style="30" bestFit="1" customWidth="1"/>
    <col min="3" max="3" width="23.625" style="30" customWidth="1"/>
    <col min="4" max="4" width="24.5" style="30" bestFit="1" customWidth="1"/>
    <col min="5" max="5" width="22" style="2" customWidth="1"/>
    <col min="6" max="6" width="29.5" style="30" bestFit="1" customWidth="1"/>
    <col min="7" max="7" width="3.625" style="27" customWidth="1"/>
    <col min="8" max="9" width="17.875" style="22" customWidth="1"/>
    <col min="10" max="10" width="3.625" style="27" customWidth="1"/>
    <col min="11" max="11" width="13.625" style="22" customWidth="1"/>
    <col min="12" max="12" width="13.625" style="35" customWidth="1"/>
    <col min="13" max="13" width="13.625" style="36" customWidth="1"/>
    <col min="14" max="14" width="23.125" style="36" customWidth="1"/>
    <col min="15" max="15" width="3.5" style="27" customWidth="1"/>
    <col min="16" max="18" width="14.375" style="22" customWidth="1"/>
    <col min="19" max="19" width="4" style="27" customWidth="1"/>
    <col min="20" max="20" width="16.5" style="22" customWidth="1"/>
    <col min="21" max="21" width="23" style="22" customWidth="1"/>
    <col min="22" max="16384" width="10.875" style="22"/>
  </cols>
  <sheetData>
    <row r="1" spans="1:23" ht="18.75">
      <c r="A1" s="26"/>
      <c r="B1" s="42" t="s">
        <v>82</v>
      </c>
      <c r="C1" s="42"/>
      <c r="D1" s="42"/>
      <c r="E1" s="42"/>
      <c r="F1" s="42"/>
      <c r="H1" s="42" t="s">
        <v>83</v>
      </c>
      <c r="I1" s="42"/>
      <c r="K1" s="42" t="s">
        <v>84</v>
      </c>
      <c r="L1" s="42"/>
      <c r="M1" s="42"/>
      <c r="N1" s="42"/>
      <c r="P1" s="42" t="s">
        <v>88</v>
      </c>
      <c r="Q1" s="42"/>
      <c r="R1" s="42"/>
      <c r="T1" s="42" t="s">
        <v>90</v>
      </c>
      <c r="U1" s="42"/>
    </row>
    <row r="2" spans="1:23" ht="16.5" thickBot="1">
      <c r="A2" s="28" t="s">
        <v>0</v>
      </c>
      <c r="B2" s="28" t="s">
        <v>62</v>
      </c>
      <c r="C2" s="28" t="s">
        <v>65</v>
      </c>
      <c r="D2" s="28" t="s">
        <v>63</v>
      </c>
      <c r="E2" s="6" t="s">
        <v>75</v>
      </c>
      <c r="F2" s="28" t="s">
        <v>64</v>
      </c>
      <c r="H2" s="25" t="s">
        <v>72</v>
      </c>
      <c r="I2" s="25" t="s">
        <v>71</v>
      </c>
      <c r="K2" s="33" t="s">
        <v>85</v>
      </c>
      <c r="L2" s="37" t="s">
        <v>86</v>
      </c>
      <c r="M2" s="38" t="s">
        <v>87</v>
      </c>
      <c r="N2" s="38" t="s">
        <v>93</v>
      </c>
      <c r="P2" s="33" t="s">
        <v>85</v>
      </c>
      <c r="Q2" s="33" t="s">
        <v>86</v>
      </c>
      <c r="R2" s="33" t="s">
        <v>87</v>
      </c>
      <c r="T2" s="33" t="s">
        <v>91</v>
      </c>
      <c r="U2" s="33" t="s">
        <v>92</v>
      </c>
    </row>
    <row r="3" spans="1:23">
      <c r="A3" s="29" t="s">
        <v>3</v>
      </c>
      <c r="B3" s="30">
        <v>0</v>
      </c>
      <c r="C3" s="30">
        <f t="shared" ref="C3:C63" si="0">B3+0.00055</f>
        <v>5.5000000000000003E-4</v>
      </c>
      <c r="D3" s="30">
        <v>2.7000000000000001E-3</v>
      </c>
      <c r="E3" s="17">
        <f t="shared" ref="E3:E63" si="1">D3*(88.02/(88.02+215.8))</f>
        <v>7.8221973536962675E-4</v>
      </c>
      <c r="F3" s="30">
        <v>3.0499999999999999E-2</v>
      </c>
      <c r="H3" s="24">
        <f>0.6328-0.6328</f>
        <v>0</v>
      </c>
      <c r="I3" s="22">
        <f>0.6334-0.6328</f>
        <v>5.9999999999993392E-4</v>
      </c>
      <c r="K3" s="34">
        <f t="shared" ref="K3:K63" si="2">100*(C3-H3)/(C3-H3+F3+D3-I3)</f>
        <v>1.6591251885369502</v>
      </c>
      <c r="L3" s="35">
        <f>100*(E3-I3)/(F3+C3-H3+D3-E3)</f>
        <v>0.5527206682009711</v>
      </c>
      <c r="M3" s="36">
        <f>10000*L3</f>
        <v>5527.2066820097107</v>
      </c>
      <c r="N3" s="34">
        <f>0.93*K3-0.196</f>
        <v>1.3469864253393637</v>
      </c>
      <c r="P3" s="34">
        <v>1.4054317175133901</v>
      </c>
      <c r="Q3" s="35">
        <v>0.12639630054355619</v>
      </c>
      <c r="R3" s="36">
        <v>1263.9630054355619</v>
      </c>
      <c r="T3" s="22">
        <v>99.2</v>
      </c>
      <c r="U3" s="22">
        <f>100-T3</f>
        <v>0.79999999999999716</v>
      </c>
      <c r="W3" s="35"/>
    </row>
    <row r="4" spans="1:23">
      <c r="A4" s="29" t="s">
        <v>4</v>
      </c>
      <c r="B4" s="30">
        <v>3.0000000000000001E-3</v>
      </c>
      <c r="C4" s="30">
        <f t="shared" si="0"/>
        <v>3.5500000000000002E-3</v>
      </c>
      <c r="D4" s="30">
        <v>0</v>
      </c>
      <c r="E4" s="17">
        <f t="shared" si="1"/>
        <v>0</v>
      </c>
      <c r="F4" s="30">
        <v>3.3799999999999997E-2</v>
      </c>
      <c r="H4" s="24">
        <v>1.5E-3</v>
      </c>
      <c r="I4" s="22">
        <v>0</v>
      </c>
      <c r="K4" s="34">
        <f t="shared" si="2"/>
        <v>5.7182705718270572</v>
      </c>
      <c r="L4" s="35">
        <f t="shared" ref="L4:L32" si="3">100*(E4-I4)/(F4+C4-H4+D4-E4)</f>
        <v>0</v>
      </c>
      <c r="M4" s="36">
        <f t="shared" ref="M4:M63" si="4">10000*L4</f>
        <v>0</v>
      </c>
      <c r="N4" s="34">
        <f t="shared" ref="N4:N32" si="5">0.93*K4-0.196</f>
        <v>5.1219916317991636</v>
      </c>
      <c r="P4" s="34">
        <v>5.5700373315455352</v>
      </c>
      <c r="Q4" s="35" t="s">
        <v>89</v>
      </c>
      <c r="R4" s="36"/>
      <c r="T4" s="22">
        <v>95</v>
      </c>
      <c r="U4" s="22">
        <f t="shared" ref="U4:U61" si="6">100-T4</f>
        <v>5</v>
      </c>
      <c r="W4" s="35"/>
    </row>
    <row r="5" spans="1:23">
      <c r="A5" s="29" t="s">
        <v>1</v>
      </c>
      <c r="B5" s="30">
        <v>2E-3</v>
      </c>
      <c r="C5" s="30">
        <f t="shared" si="0"/>
        <v>2.5500000000000002E-3</v>
      </c>
      <c r="D5" s="30">
        <v>2.2000000000000001E-3</v>
      </c>
      <c r="E5" s="17">
        <f t="shared" si="1"/>
        <v>6.373642288196959E-4</v>
      </c>
      <c r="F5" s="30">
        <v>2.98E-2</v>
      </c>
      <c r="H5" s="24">
        <f>0.6367-0.636</f>
        <v>7.0000000000003393E-4</v>
      </c>
      <c r="I5" s="22">
        <f>0.6375-0.6367</f>
        <v>7.9999999999991189E-4</v>
      </c>
      <c r="K5" s="34">
        <f t="shared" si="2"/>
        <v>5.5975794251133522</v>
      </c>
      <c r="L5" s="35">
        <f t="shared" si="3"/>
        <v>-0.4896804104940703</v>
      </c>
      <c r="M5" s="36">
        <f t="shared" si="4"/>
        <v>-4896.8041049407029</v>
      </c>
      <c r="N5" s="34">
        <f t="shared" si="5"/>
        <v>5.0097488653554176</v>
      </c>
      <c r="P5" s="34">
        <v>4.2708312659991581</v>
      </c>
      <c r="Q5" s="35">
        <v>0.12726682441186141</v>
      </c>
      <c r="R5" s="36">
        <v>1272.668244118614</v>
      </c>
      <c r="T5" s="22">
        <v>96.08</v>
      </c>
      <c r="U5" s="22">
        <f t="shared" si="6"/>
        <v>3.9200000000000017</v>
      </c>
      <c r="W5" s="35"/>
    </row>
    <row r="6" spans="1:23">
      <c r="A6" s="29" t="s">
        <v>2</v>
      </c>
      <c r="B6" s="30">
        <v>1.5E-3</v>
      </c>
      <c r="C6" s="30">
        <f t="shared" si="0"/>
        <v>2.0500000000000002E-3</v>
      </c>
      <c r="D6" s="30">
        <v>4.8999999999999998E-3</v>
      </c>
      <c r="E6" s="17">
        <f t="shared" si="1"/>
        <v>1.4195839641893224E-3</v>
      </c>
      <c r="F6" s="30">
        <v>3.0499999999999999E-2</v>
      </c>
      <c r="H6" s="24">
        <f>0.6485-0.6483</f>
        <v>1.9999999999997797E-4</v>
      </c>
      <c r="I6" s="22">
        <f>0.6505-0.6485</f>
        <v>2.0000000000000018E-3</v>
      </c>
      <c r="K6" s="34">
        <f t="shared" si="2"/>
        <v>5.2482269503546695</v>
      </c>
      <c r="L6" s="35">
        <f t="shared" si="3"/>
        <v>-1.6198975619780205</v>
      </c>
      <c r="M6" s="36">
        <f t="shared" si="4"/>
        <v>-16198.975619780205</v>
      </c>
      <c r="N6" s="34">
        <f t="shared" si="5"/>
        <v>4.6848510638298428</v>
      </c>
      <c r="P6" s="34">
        <v>1.8600856820490952</v>
      </c>
      <c r="Q6" s="35">
        <v>2.4441438341411461E-2</v>
      </c>
      <c r="R6" s="36">
        <v>244.41438341411461</v>
      </c>
      <c r="T6" s="22">
        <v>97.08</v>
      </c>
      <c r="U6" s="22">
        <f t="shared" si="6"/>
        <v>2.9200000000000017</v>
      </c>
      <c r="W6" s="35"/>
    </row>
    <row r="7" spans="1:23">
      <c r="A7" s="29" t="s">
        <v>5</v>
      </c>
      <c r="B7" s="30">
        <v>1.5E-3</v>
      </c>
      <c r="C7" s="30">
        <f t="shared" si="0"/>
        <v>2.0500000000000002E-3</v>
      </c>
      <c r="D7" s="30">
        <v>5.7000000000000002E-3</v>
      </c>
      <c r="E7" s="17">
        <f t="shared" si="1"/>
        <v>1.6513527746692121E-3</v>
      </c>
      <c r="F7" s="30">
        <v>3.6700000000000003E-2</v>
      </c>
      <c r="H7" s="24">
        <v>5.0000000000000001E-4</v>
      </c>
      <c r="I7" s="22">
        <v>1.6000000000000001E-3</v>
      </c>
      <c r="K7" s="34">
        <f t="shared" si="2"/>
        <v>3.6599763872491144</v>
      </c>
      <c r="L7" s="35">
        <f t="shared" si="3"/>
        <v>0.12140524115499152</v>
      </c>
      <c r="M7" s="36">
        <f t="shared" si="4"/>
        <v>1214.0524115499152</v>
      </c>
      <c r="N7" s="34">
        <f t="shared" si="5"/>
        <v>3.2077780401416764</v>
      </c>
      <c r="P7" s="34">
        <v>3.1404197769142503</v>
      </c>
      <c r="Q7" s="35">
        <v>4.4309617125751516E-2</v>
      </c>
      <c r="R7" s="36">
        <v>443.09617125751515</v>
      </c>
      <c r="T7" s="22">
        <v>97.52</v>
      </c>
      <c r="U7" s="22">
        <f t="shared" si="6"/>
        <v>2.480000000000004</v>
      </c>
      <c r="W7" s="35"/>
    </row>
    <row r="8" spans="1:23">
      <c r="A8" s="29" t="s">
        <v>6</v>
      </c>
      <c r="B8" s="30">
        <v>2.0999999999999999E-3</v>
      </c>
      <c r="C8" s="30">
        <f t="shared" si="0"/>
        <v>2.65E-3</v>
      </c>
      <c r="D8" s="30">
        <v>3.2000000000000002E-3</v>
      </c>
      <c r="E8" s="17">
        <f t="shared" si="1"/>
        <v>9.270752419195576E-4</v>
      </c>
      <c r="F8" s="30">
        <v>3.0700000000000002E-2</v>
      </c>
      <c r="H8" s="24">
        <v>1.1000000000000001E-3</v>
      </c>
      <c r="I8" s="22">
        <v>1.1000000000000001E-3</v>
      </c>
      <c r="K8" s="34">
        <f t="shared" si="2"/>
        <v>4.5123726346433761</v>
      </c>
      <c r="L8" s="35">
        <f t="shared" si="3"/>
        <v>-0.50089834303499337</v>
      </c>
      <c r="M8" s="36">
        <f t="shared" si="4"/>
        <v>-5008.9834303499338</v>
      </c>
      <c r="N8" s="34">
        <f t="shared" si="5"/>
        <v>4.0005065502183399</v>
      </c>
      <c r="P8" s="34"/>
      <c r="Q8" s="35"/>
      <c r="R8" s="36"/>
      <c r="T8" s="22">
        <v>96.41</v>
      </c>
      <c r="U8" s="22">
        <f t="shared" si="6"/>
        <v>3.5900000000000034</v>
      </c>
      <c r="W8" s="35"/>
    </row>
    <row r="9" spans="1:23">
      <c r="A9" s="29" t="s">
        <v>7</v>
      </c>
      <c r="B9" s="30">
        <v>0</v>
      </c>
      <c r="C9" s="30">
        <f t="shared" si="0"/>
        <v>5.5000000000000003E-4</v>
      </c>
      <c r="D9" s="30">
        <v>2.1499999999999998E-2</v>
      </c>
      <c r="E9" s="17">
        <f t="shared" si="1"/>
        <v>6.2287867816470267E-3</v>
      </c>
      <c r="F9" s="30">
        <v>6.0100000000000001E-2</v>
      </c>
      <c r="H9" s="24">
        <f>0.6732-0.6728</f>
        <v>4.0000000000006697E-4</v>
      </c>
      <c r="I9" s="22">
        <f>0.6793-0.6732</f>
        <v>6.0999999999999943E-3</v>
      </c>
      <c r="K9" s="34">
        <f t="shared" si="2"/>
        <v>0.19828155981484891</v>
      </c>
      <c r="L9" s="35">
        <f t="shared" si="3"/>
        <v>0.17053060479136348</v>
      </c>
      <c r="M9" s="36">
        <f t="shared" si="4"/>
        <v>1705.3060479136348</v>
      </c>
      <c r="N9" s="34">
        <f t="shared" si="5"/>
        <v>-1.1598149372190503E-2</v>
      </c>
      <c r="P9" s="34">
        <v>1.1019751680274255</v>
      </c>
      <c r="Q9" s="35">
        <v>8.9440912903124715E-3</v>
      </c>
      <c r="R9" s="36">
        <v>89.440912903124712</v>
      </c>
      <c r="T9" s="22">
        <v>96.63</v>
      </c>
      <c r="U9" s="22">
        <f t="shared" si="6"/>
        <v>3.3700000000000045</v>
      </c>
      <c r="W9" s="35"/>
    </row>
    <row r="10" spans="1:23">
      <c r="A10" s="29" t="s">
        <v>8</v>
      </c>
      <c r="B10" s="30">
        <v>1.4E-3</v>
      </c>
      <c r="C10" s="30">
        <f t="shared" si="0"/>
        <v>1.9499999999999999E-3</v>
      </c>
      <c r="D10" s="30">
        <v>1.72E-2</v>
      </c>
      <c r="E10" s="17">
        <f t="shared" si="1"/>
        <v>4.9830294253176222E-3</v>
      </c>
      <c r="F10" s="30">
        <v>6.0400000000000002E-2</v>
      </c>
      <c r="H10" s="24">
        <f>0.6839-0.683</f>
        <v>8.9999999999990088E-4</v>
      </c>
      <c r="I10" s="22">
        <f>0.6879-0.6839</f>
        <v>4.0000000000000036E-3</v>
      </c>
      <c r="K10" s="34">
        <f t="shared" si="2"/>
        <v>1.4065639651709279</v>
      </c>
      <c r="L10" s="35">
        <f t="shared" si="3"/>
        <v>1.3344235790462402</v>
      </c>
      <c r="M10" s="36">
        <f t="shared" si="4"/>
        <v>13344.235790462402</v>
      </c>
      <c r="N10" s="34">
        <f t="shared" si="5"/>
        <v>1.112104487608963</v>
      </c>
      <c r="P10" s="34">
        <v>1.7917251415339657</v>
      </c>
      <c r="Q10" s="35">
        <v>0.10770157661214085</v>
      </c>
      <c r="R10" s="36">
        <v>1077.0157661214084</v>
      </c>
      <c r="T10" s="22">
        <v>94.76</v>
      </c>
      <c r="U10" s="22">
        <f t="shared" si="6"/>
        <v>5.2399999999999949</v>
      </c>
      <c r="W10" s="35"/>
    </row>
    <row r="11" spans="1:23">
      <c r="A11" s="29" t="s">
        <v>9</v>
      </c>
      <c r="B11" s="30">
        <v>1.4E-3</v>
      </c>
      <c r="C11" s="30">
        <f t="shared" si="0"/>
        <v>1.9499999999999999E-3</v>
      </c>
      <c r="D11" s="30">
        <v>6.3E-3</v>
      </c>
      <c r="E11" s="17">
        <f t="shared" si="1"/>
        <v>1.8251793825291289E-3</v>
      </c>
      <c r="F11" s="30">
        <v>3.0200000000000001E-2</v>
      </c>
      <c r="H11" s="24">
        <f>0.6605-0.6596</f>
        <v>9.000000000000119E-4</v>
      </c>
      <c r="I11" s="22">
        <f>0.6622-0.6605</f>
        <v>1.7000000000000348E-3</v>
      </c>
      <c r="K11" s="34">
        <f t="shared" si="2"/>
        <v>2.9288702928869998</v>
      </c>
      <c r="L11" s="35">
        <f t="shared" si="3"/>
        <v>0.35039891136045742</v>
      </c>
      <c r="M11" s="36">
        <f t="shared" si="4"/>
        <v>3503.9891136045744</v>
      </c>
      <c r="N11" s="34">
        <f t="shared" si="5"/>
        <v>2.5278493723849098</v>
      </c>
      <c r="P11" s="34">
        <v>3.5965593229553132</v>
      </c>
      <c r="Q11" s="35">
        <v>9.7224891242776251E-2</v>
      </c>
      <c r="R11" s="36">
        <v>972.24891242776255</v>
      </c>
      <c r="T11" s="22">
        <v>94.24</v>
      </c>
      <c r="U11" s="22">
        <f t="shared" si="6"/>
        <v>5.7600000000000051</v>
      </c>
      <c r="W11" s="35"/>
    </row>
    <row r="12" spans="1:23">
      <c r="A12" s="29" t="s">
        <v>10</v>
      </c>
      <c r="B12" s="30">
        <v>2.2000000000000001E-3</v>
      </c>
      <c r="C12" s="30">
        <f t="shared" si="0"/>
        <v>2.7500000000000003E-3</v>
      </c>
      <c r="D12" s="30">
        <v>3.0999999999999999E-3</v>
      </c>
      <c r="E12" s="17">
        <f t="shared" si="1"/>
        <v>8.9810414060957134E-4</v>
      </c>
      <c r="F12" s="30">
        <v>3.0700000000000002E-2</v>
      </c>
      <c r="H12" s="24">
        <f>0.6498-0.649</f>
        <v>8.0000000000002292E-4</v>
      </c>
      <c r="I12" s="22">
        <f>0.6505-0.6498</f>
        <v>6.9999999999992291E-4</v>
      </c>
      <c r="K12" s="34">
        <f t="shared" si="2"/>
        <v>5.5634807417973589</v>
      </c>
      <c r="L12" s="35">
        <f t="shared" si="3"/>
        <v>0.56841711397536998</v>
      </c>
      <c r="M12" s="36">
        <f t="shared" si="4"/>
        <v>5684.1711397537001</v>
      </c>
      <c r="N12" s="34">
        <f t="shared" si="5"/>
        <v>4.9780370898715445</v>
      </c>
      <c r="P12" s="34">
        <v>2.3809825778341684</v>
      </c>
      <c r="Q12" s="35">
        <v>6.6020839771412529E-2</v>
      </c>
      <c r="R12" s="36">
        <v>660.20839771412534</v>
      </c>
      <c r="T12" s="22">
        <v>92.11</v>
      </c>
      <c r="U12" s="22">
        <f t="shared" si="6"/>
        <v>7.8900000000000006</v>
      </c>
      <c r="W12" s="35"/>
    </row>
    <row r="13" spans="1:23">
      <c r="A13" s="29" t="s">
        <v>11</v>
      </c>
      <c r="B13" s="30">
        <v>3.0999999999999999E-3</v>
      </c>
      <c r="C13" s="30">
        <f t="shared" si="0"/>
        <v>3.65E-3</v>
      </c>
      <c r="D13" s="30">
        <v>0</v>
      </c>
      <c r="E13" s="17">
        <f t="shared" si="1"/>
        <v>0</v>
      </c>
      <c r="F13" s="30">
        <v>2.98E-2</v>
      </c>
      <c r="H13" s="24">
        <f>0.6386-0.6372</f>
        <v>1.3999999999999568E-3</v>
      </c>
      <c r="I13" s="22">
        <f>0.6386-0.6386</f>
        <v>0</v>
      </c>
      <c r="K13" s="34">
        <f t="shared" si="2"/>
        <v>7.0202808112325741</v>
      </c>
      <c r="L13" s="35">
        <f t="shared" si="3"/>
        <v>0</v>
      </c>
      <c r="M13" s="36">
        <f t="shared" si="4"/>
        <v>0</v>
      </c>
      <c r="N13" s="34">
        <f t="shared" si="5"/>
        <v>6.3328611544462943</v>
      </c>
      <c r="P13" s="34">
        <v>5.5494030730959505</v>
      </c>
      <c r="Q13" s="35" t="s">
        <v>89</v>
      </c>
      <c r="R13" s="36"/>
      <c r="T13" s="22">
        <v>90.83</v>
      </c>
      <c r="U13" s="22">
        <f t="shared" si="6"/>
        <v>9.1700000000000017</v>
      </c>
      <c r="W13" s="35"/>
    </row>
    <row r="14" spans="1:23">
      <c r="A14" s="29" t="s">
        <v>19</v>
      </c>
      <c r="B14" s="30">
        <v>0</v>
      </c>
      <c r="C14" s="30">
        <f t="shared" si="0"/>
        <v>5.5000000000000003E-4</v>
      </c>
      <c r="D14" s="30">
        <v>1.72E-2</v>
      </c>
      <c r="E14" s="17">
        <f t="shared" si="1"/>
        <v>4.9830294253176222E-3</v>
      </c>
      <c r="F14" s="30">
        <v>5.28E-2</v>
      </c>
      <c r="H14" s="24">
        <f>0.6682-0.6679</f>
        <v>2.9999999999996696E-4</v>
      </c>
      <c r="I14" s="22">
        <f>0.6729-0.6682</f>
        <v>4.7000000000000375E-3</v>
      </c>
      <c r="K14" s="34">
        <f t="shared" si="2"/>
        <v>0.38138825324185061</v>
      </c>
      <c r="L14" s="35">
        <f t="shared" si="3"/>
        <v>0.43364878563457354</v>
      </c>
      <c r="M14" s="36">
        <f t="shared" si="4"/>
        <v>4336.4878563457351</v>
      </c>
      <c r="N14" s="34">
        <f t="shared" si="5"/>
        <v>0.15869107551492107</v>
      </c>
      <c r="P14" s="34">
        <v>1.1355329138813131</v>
      </c>
      <c r="Q14" s="35">
        <v>0.20367773196132088</v>
      </c>
      <c r="R14" s="36">
        <v>2036.7773196132089</v>
      </c>
      <c r="T14" s="22">
        <v>93.35</v>
      </c>
      <c r="U14" s="22">
        <f t="shared" si="6"/>
        <v>6.6500000000000057</v>
      </c>
      <c r="W14" s="35"/>
    </row>
    <row r="15" spans="1:23">
      <c r="A15" s="29" t="s">
        <v>12</v>
      </c>
      <c r="B15" s="30">
        <v>5.9999999999999995E-4</v>
      </c>
      <c r="C15" s="30">
        <f t="shared" si="0"/>
        <v>1.15E-3</v>
      </c>
      <c r="D15" s="30">
        <v>8.6E-3</v>
      </c>
      <c r="E15" s="17">
        <f t="shared" si="1"/>
        <v>2.4915147126588111E-3</v>
      </c>
      <c r="F15" s="30">
        <v>3.09E-2</v>
      </c>
      <c r="H15" s="24">
        <v>2.9999999999999997E-4</v>
      </c>
      <c r="I15" s="22">
        <v>2.2000000000000001E-3</v>
      </c>
      <c r="K15" s="34">
        <f t="shared" si="2"/>
        <v>2.2280471821756227</v>
      </c>
      <c r="L15" s="35">
        <f t="shared" si="3"/>
        <v>0.77001155869351523</v>
      </c>
      <c r="M15" s="36">
        <f t="shared" si="4"/>
        <v>7700.1155869351524</v>
      </c>
      <c r="N15" s="34">
        <f t="shared" si="5"/>
        <v>1.8760838794233294</v>
      </c>
      <c r="P15" s="34">
        <v>2.2532215806724034</v>
      </c>
      <c r="Q15" s="35">
        <v>0.11861811123716566</v>
      </c>
      <c r="R15" s="36">
        <v>1186.1811123716566</v>
      </c>
      <c r="T15" s="22">
        <v>95.45</v>
      </c>
      <c r="U15" s="22">
        <f t="shared" si="6"/>
        <v>4.5499999999999972</v>
      </c>
      <c r="W15" s="35"/>
    </row>
    <row r="16" spans="1:23">
      <c r="A16" s="29" t="s">
        <v>13</v>
      </c>
      <c r="B16" s="30">
        <v>1.4E-3</v>
      </c>
      <c r="C16" s="30">
        <f t="shared" si="0"/>
        <v>1.9499999999999999E-3</v>
      </c>
      <c r="D16" s="30">
        <v>5.5999999999999999E-3</v>
      </c>
      <c r="E16" s="17">
        <f t="shared" si="1"/>
        <v>1.6223816733592258E-3</v>
      </c>
      <c r="F16" s="30">
        <v>3.0200000000000001E-2</v>
      </c>
      <c r="H16" s="24">
        <v>5.0000000000000001E-4</v>
      </c>
      <c r="I16" s="22">
        <v>1.6000000000000001E-3</v>
      </c>
      <c r="K16" s="34">
        <f t="shared" si="2"/>
        <v>4.0673211781206167</v>
      </c>
      <c r="L16" s="35">
        <f t="shared" si="3"/>
        <v>6.2821132622524159E-2</v>
      </c>
      <c r="M16" s="36">
        <f t="shared" si="4"/>
        <v>628.21132622524158</v>
      </c>
      <c r="N16" s="34">
        <f t="shared" si="5"/>
        <v>3.5866086956521737</v>
      </c>
      <c r="P16" s="34">
        <v>3.5917278283808085</v>
      </c>
      <c r="Q16" s="35">
        <v>9.8150601278399932E-2</v>
      </c>
      <c r="R16" s="36">
        <v>981.50601278399927</v>
      </c>
      <c r="T16" s="22">
        <v>96.49</v>
      </c>
      <c r="U16" s="22">
        <f t="shared" si="6"/>
        <v>3.5100000000000051</v>
      </c>
      <c r="W16" s="35"/>
    </row>
    <row r="17" spans="1:23">
      <c r="A17" s="29" t="s">
        <v>14</v>
      </c>
      <c r="B17" s="30">
        <v>2.0999999999999999E-3</v>
      </c>
      <c r="C17" s="30">
        <f t="shared" si="0"/>
        <v>2.65E-3</v>
      </c>
      <c r="D17" s="30">
        <v>3.0000000000000001E-3</v>
      </c>
      <c r="E17" s="17">
        <f t="shared" si="1"/>
        <v>8.691330392995853E-4</v>
      </c>
      <c r="F17" s="30">
        <v>3.0099999999999998E-2</v>
      </c>
      <c r="H17" s="24">
        <v>8.9999999999999998E-4</v>
      </c>
      <c r="I17" s="22">
        <v>1.1000000000000001E-3</v>
      </c>
      <c r="K17" s="34">
        <f t="shared" si="2"/>
        <v>5.1851851851851851</v>
      </c>
      <c r="L17" s="35">
        <f t="shared" si="3"/>
        <v>-0.67940279736658049</v>
      </c>
      <c r="M17" s="36">
        <f t="shared" si="4"/>
        <v>-6794.0279736658049</v>
      </c>
      <c r="N17" s="34">
        <f t="shared" si="5"/>
        <v>4.6262222222222231</v>
      </c>
      <c r="P17" s="34">
        <v>3.0346811077285576</v>
      </c>
      <c r="Q17" s="35">
        <v>0.16223804486029086</v>
      </c>
      <c r="R17" s="36">
        <v>1622.3804486029087</v>
      </c>
      <c r="T17" s="22">
        <v>93.53</v>
      </c>
      <c r="U17" s="22">
        <f t="shared" si="6"/>
        <v>6.4699999999999989</v>
      </c>
      <c r="W17" s="35"/>
    </row>
    <row r="18" spans="1:23">
      <c r="A18" s="29" t="s">
        <v>15</v>
      </c>
      <c r="B18" s="30">
        <v>3.0000000000000001E-3</v>
      </c>
      <c r="C18" s="30">
        <f t="shared" si="0"/>
        <v>3.5500000000000002E-3</v>
      </c>
      <c r="D18" s="30">
        <v>0</v>
      </c>
      <c r="E18" s="17">
        <f t="shared" si="1"/>
        <v>0</v>
      </c>
      <c r="F18" s="30">
        <v>3.0300000000000001E-2</v>
      </c>
      <c r="H18" s="24">
        <v>1.1000000000000001E-3</v>
      </c>
      <c r="I18" s="22">
        <v>0</v>
      </c>
      <c r="K18" s="34">
        <f t="shared" si="2"/>
        <v>7.4809160305343507</v>
      </c>
      <c r="L18" s="35">
        <f t="shared" si="3"/>
        <v>0</v>
      </c>
      <c r="M18" s="36">
        <f t="shared" si="4"/>
        <v>0</v>
      </c>
      <c r="N18" s="34">
        <f t="shared" si="5"/>
        <v>6.7612519083969467</v>
      </c>
      <c r="P18" s="34">
        <v>6.649924306316259</v>
      </c>
      <c r="Q18" s="35" t="s">
        <v>89</v>
      </c>
      <c r="R18" s="36"/>
      <c r="W18" s="35"/>
    </row>
    <row r="19" spans="1:23">
      <c r="A19" s="29" t="s">
        <v>16</v>
      </c>
      <c r="B19" s="30">
        <v>0</v>
      </c>
      <c r="C19" s="30">
        <f t="shared" si="0"/>
        <v>5.5000000000000003E-4</v>
      </c>
      <c r="D19" s="30">
        <v>2.1499999999999998E-2</v>
      </c>
      <c r="E19" s="17">
        <f t="shared" si="1"/>
        <v>6.2287867816470267E-3</v>
      </c>
      <c r="F19" s="30">
        <v>6.25E-2</v>
      </c>
      <c r="H19" s="24">
        <v>0</v>
      </c>
      <c r="I19" s="22">
        <v>3.5000000000000001E-3</v>
      </c>
      <c r="K19" s="34">
        <f t="shared" si="2"/>
        <v>0.6785934608266504</v>
      </c>
      <c r="L19" s="35">
        <f t="shared" si="3"/>
        <v>3.4840966700035643</v>
      </c>
      <c r="M19" s="36">
        <f t="shared" si="4"/>
        <v>34840.966700035642</v>
      </c>
      <c r="N19" s="34">
        <f t="shared" si="5"/>
        <v>0.43509191856878487</v>
      </c>
      <c r="P19" s="34">
        <v>1.0091020974913958</v>
      </c>
      <c r="Q19" s="35">
        <v>0.12452377483082963</v>
      </c>
      <c r="R19" s="36">
        <v>1245.2377483082962</v>
      </c>
      <c r="T19" s="22">
        <v>94.84</v>
      </c>
      <c r="U19" s="22">
        <f t="shared" si="6"/>
        <v>5.1599999999999966</v>
      </c>
      <c r="W19" s="35"/>
    </row>
    <row r="20" spans="1:23">
      <c r="A20" s="29" t="s">
        <v>17</v>
      </c>
      <c r="B20" s="30">
        <v>2.5999999999999999E-3</v>
      </c>
      <c r="C20" s="30">
        <f t="shared" si="0"/>
        <v>3.15E-3</v>
      </c>
      <c r="D20" s="30">
        <v>0.01</v>
      </c>
      <c r="E20" s="17">
        <f t="shared" si="1"/>
        <v>2.8971101309986174E-3</v>
      </c>
      <c r="F20" s="30">
        <v>6.0600000000000001E-2</v>
      </c>
      <c r="H20" s="24">
        <f>0.682-0.6818</f>
        <v>2.00000000000089E-4</v>
      </c>
      <c r="I20" s="22">
        <f>0.6822-0.682</f>
        <v>1.9999999999997797E-4</v>
      </c>
      <c r="K20" s="34">
        <f t="shared" si="2"/>
        <v>4.0218132242670945</v>
      </c>
      <c r="L20" s="35">
        <f t="shared" si="3"/>
        <v>3.817409501577921</v>
      </c>
      <c r="M20" s="36">
        <f t="shared" si="4"/>
        <v>38174.09501577921</v>
      </c>
      <c r="N20" s="34">
        <f t="shared" si="5"/>
        <v>3.5442862985683981</v>
      </c>
      <c r="P20" s="34">
        <v>2.9415733324744759</v>
      </c>
      <c r="Q20" s="35">
        <v>0.17017370199832141</v>
      </c>
      <c r="R20" s="36">
        <v>1701.7370199832142</v>
      </c>
      <c r="T20" s="22">
        <v>94.66</v>
      </c>
      <c r="U20" s="22">
        <f t="shared" si="6"/>
        <v>5.3400000000000034</v>
      </c>
      <c r="W20" s="35"/>
    </row>
    <row r="21" spans="1:23">
      <c r="A21" s="29" t="s">
        <v>18</v>
      </c>
      <c r="B21" s="30">
        <v>5.8999999999999999E-3</v>
      </c>
      <c r="C21" s="30">
        <f t="shared" si="0"/>
        <v>6.45E-3</v>
      </c>
      <c r="D21" s="30">
        <v>0</v>
      </c>
      <c r="E21" s="17">
        <f t="shared" si="1"/>
        <v>0</v>
      </c>
      <c r="F21" s="30">
        <v>6.0400000000000002E-2</v>
      </c>
      <c r="H21" s="24">
        <v>2.3999999999999998E-3</v>
      </c>
      <c r="I21" s="22">
        <v>0</v>
      </c>
      <c r="K21" s="34">
        <f t="shared" si="2"/>
        <v>6.2839410395655539</v>
      </c>
      <c r="L21" s="35">
        <f t="shared" si="3"/>
        <v>0</v>
      </c>
      <c r="M21" s="36">
        <f t="shared" si="4"/>
        <v>0</v>
      </c>
      <c r="N21" s="34">
        <f t="shared" si="5"/>
        <v>5.6480651667959654</v>
      </c>
      <c r="P21" s="34">
        <v>4.5568265487934987</v>
      </c>
      <c r="Q21" s="35" t="s">
        <v>89</v>
      </c>
      <c r="R21" s="36"/>
      <c r="T21" s="22">
        <v>90.41</v>
      </c>
      <c r="U21" s="22">
        <f t="shared" si="6"/>
        <v>9.5900000000000034</v>
      </c>
      <c r="W21" s="35"/>
    </row>
    <row r="22" spans="1:23">
      <c r="A22" s="29" t="s">
        <v>20</v>
      </c>
      <c r="B22" s="30">
        <v>0</v>
      </c>
      <c r="C22" s="30">
        <f t="shared" si="0"/>
        <v>5.5000000000000003E-4</v>
      </c>
      <c r="D22" s="30">
        <v>1.7899999999999999E-2</v>
      </c>
      <c r="E22" s="17">
        <f t="shared" si="1"/>
        <v>5.1858271344875249E-3</v>
      </c>
      <c r="F22" s="30">
        <v>5.0299999999999997E-2</v>
      </c>
      <c r="H22" s="24">
        <f>0.8641-0.8638</f>
        <v>2.9999999999996696E-4</v>
      </c>
      <c r="I22" s="22">
        <f>0.8687-0.8641</f>
        <v>4.6000000000000485E-3</v>
      </c>
      <c r="K22" s="34">
        <f t="shared" si="2"/>
        <v>0.39154267815197041</v>
      </c>
      <c r="L22" s="35">
        <f t="shared" si="3"/>
        <v>0.92600141273139291</v>
      </c>
      <c r="M22" s="36">
        <f t="shared" si="4"/>
        <v>9260.0141273139288</v>
      </c>
      <c r="N22" s="34">
        <f t="shared" si="5"/>
        <v>0.16813469068133252</v>
      </c>
      <c r="P22" s="34"/>
      <c r="Q22" s="35"/>
      <c r="R22" s="36"/>
      <c r="T22" s="22">
        <v>96.86</v>
      </c>
      <c r="U22" s="22">
        <f t="shared" si="6"/>
        <v>3.1400000000000006</v>
      </c>
      <c r="W22" s="35"/>
    </row>
    <row r="23" spans="1:23">
      <c r="A23" s="31" t="s">
        <v>21</v>
      </c>
      <c r="B23" s="32">
        <v>5.1000000000000004E-3</v>
      </c>
      <c r="C23" s="30">
        <f t="shared" si="0"/>
        <v>5.6500000000000005E-3</v>
      </c>
      <c r="D23" s="32">
        <v>0</v>
      </c>
      <c r="E23" s="17">
        <f t="shared" si="1"/>
        <v>0</v>
      </c>
      <c r="F23" s="32">
        <v>5.11E-2</v>
      </c>
      <c r="H23" s="24">
        <f>0.5845-0.5826</f>
        <v>1.9000000000000128E-3</v>
      </c>
      <c r="I23" s="22">
        <f>0.5845-0.5845</f>
        <v>0</v>
      </c>
      <c r="K23" s="34">
        <f t="shared" si="2"/>
        <v>6.8368277119416385</v>
      </c>
      <c r="L23" s="35">
        <f t="shared" si="3"/>
        <v>0</v>
      </c>
      <c r="M23" s="36">
        <f t="shared" si="4"/>
        <v>0</v>
      </c>
      <c r="N23" s="34">
        <f t="shared" si="5"/>
        <v>6.1622497721057243</v>
      </c>
      <c r="P23" s="34">
        <v>7.8288302614668499</v>
      </c>
      <c r="Q23" s="35" t="s">
        <v>89</v>
      </c>
      <c r="R23" s="36"/>
      <c r="T23" s="22">
        <v>92.42</v>
      </c>
      <c r="U23" s="22">
        <f t="shared" si="6"/>
        <v>7.5799999999999983</v>
      </c>
      <c r="W23" s="35"/>
    </row>
    <row r="24" spans="1:23">
      <c r="A24" s="31" t="s">
        <v>22</v>
      </c>
      <c r="B24" s="32">
        <v>3.5000000000000001E-3</v>
      </c>
      <c r="C24" s="30">
        <f t="shared" si="0"/>
        <v>4.0499999999999998E-3</v>
      </c>
      <c r="D24" s="32">
        <v>5.4999999999999997E-3</v>
      </c>
      <c r="E24" s="17">
        <f t="shared" si="1"/>
        <v>1.5934105720492395E-3</v>
      </c>
      <c r="F24" s="32">
        <v>5.0700000000000002E-2</v>
      </c>
      <c r="H24" s="24">
        <f>0.5784-0.5761</f>
        <v>2.3000000000000798E-3</v>
      </c>
      <c r="I24" s="22">
        <f>0.5793-0.5784</f>
        <v>9.000000000000119E-4</v>
      </c>
      <c r="K24" s="34">
        <f t="shared" si="2"/>
        <v>3.0674846625765517</v>
      </c>
      <c r="L24" s="35">
        <f t="shared" si="3"/>
        <v>1.2303983954453477</v>
      </c>
      <c r="M24" s="36">
        <f t="shared" si="4"/>
        <v>12303.983954453477</v>
      </c>
      <c r="N24" s="34">
        <f t="shared" si="5"/>
        <v>2.6567607361961931</v>
      </c>
      <c r="P24" s="34">
        <v>3.6556650194010212</v>
      </c>
      <c r="Q24" s="35">
        <v>0.16236872009080955</v>
      </c>
      <c r="R24" s="36">
        <v>1623.6872009080955</v>
      </c>
      <c r="T24" s="22">
        <v>94.25</v>
      </c>
      <c r="U24" s="22">
        <f t="shared" si="6"/>
        <v>5.75</v>
      </c>
      <c r="W24" s="35"/>
    </row>
    <row r="25" spans="1:23">
      <c r="A25" s="31" t="s">
        <v>23</v>
      </c>
      <c r="B25" s="32">
        <v>2.2000000000000001E-3</v>
      </c>
      <c r="C25" s="30">
        <f t="shared" si="0"/>
        <v>2.7500000000000003E-3</v>
      </c>
      <c r="D25" s="32">
        <v>9.1000000000000004E-3</v>
      </c>
      <c r="E25" s="17">
        <f t="shared" si="1"/>
        <v>2.6363702192087422E-3</v>
      </c>
      <c r="F25" s="32">
        <v>5.0599999999999999E-2</v>
      </c>
      <c r="H25" s="24">
        <f>0.5837-0.5824</f>
        <v>1.2999999999999678E-3</v>
      </c>
      <c r="I25" s="22">
        <f>0.5855-0.5837</f>
        <v>1.8000000000000238E-3</v>
      </c>
      <c r="K25" s="34">
        <f t="shared" si="2"/>
        <v>2.4431339511373751</v>
      </c>
      <c r="L25" s="35">
        <f t="shared" si="3"/>
        <v>1.4293596591802611</v>
      </c>
      <c r="M25" s="36">
        <f t="shared" si="4"/>
        <v>14293.59659180261</v>
      </c>
      <c r="N25" s="34">
        <f t="shared" si="5"/>
        <v>2.0761145745577587</v>
      </c>
      <c r="P25" s="34">
        <v>2.0825935242737601</v>
      </c>
      <c r="Q25" s="35">
        <v>0.19754070582481681</v>
      </c>
      <c r="R25" s="36">
        <v>1975.4070582481681</v>
      </c>
      <c r="T25" s="22">
        <v>95.74</v>
      </c>
      <c r="U25" s="22">
        <f t="shared" si="6"/>
        <v>4.2600000000000051</v>
      </c>
      <c r="W25" s="35"/>
    </row>
    <row r="26" spans="1:23">
      <c r="A26" s="31" t="s">
        <v>24</v>
      </c>
      <c r="B26" s="32">
        <v>1E-3</v>
      </c>
      <c r="C26" s="30">
        <f t="shared" si="0"/>
        <v>1.5500000000000002E-3</v>
      </c>
      <c r="D26" s="32">
        <v>1.37E-2</v>
      </c>
      <c r="E26" s="17">
        <f t="shared" si="1"/>
        <v>3.969040879468106E-3</v>
      </c>
      <c r="F26" s="32">
        <v>5.04E-2</v>
      </c>
      <c r="H26" s="24">
        <f>0.5819-0.5807</f>
        <v>1.1999999999999789E-3</v>
      </c>
      <c r="I26" s="22">
        <f>0.5849-0.5819</f>
        <v>3.0000000000000027E-3</v>
      </c>
      <c r="K26" s="34">
        <f t="shared" si="2"/>
        <v>0.56956875508546978</v>
      </c>
      <c r="L26" s="35">
        <f t="shared" si="3"/>
        <v>1.6022247225559225</v>
      </c>
      <c r="M26" s="36">
        <f t="shared" si="4"/>
        <v>16022.247225559226</v>
      </c>
      <c r="N26" s="34">
        <f t="shared" si="5"/>
        <v>0.33369894222948687</v>
      </c>
      <c r="P26" s="34">
        <v>1.78</v>
      </c>
      <c r="Q26" s="35">
        <v>6.6668725662542908E-2</v>
      </c>
      <c r="R26" s="36">
        <v>666.68725662542909</v>
      </c>
      <c r="T26" s="22">
        <v>95.79</v>
      </c>
      <c r="U26" s="22">
        <f t="shared" si="6"/>
        <v>4.2099999999999937</v>
      </c>
      <c r="W26" s="35"/>
    </row>
    <row r="27" spans="1:23">
      <c r="A27" s="31" t="s">
        <v>25</v>
      </c>
      <c r="B27" s="32">
        <v>0</v>
      </c>
      <c r="C27" s="30">
        <f t="shared" si="0"/>
        <v>5.5000000000000003E-4</v>
      </c>
      <c r="D27" s="32">
        <v>1.7299999999999999E-2</v>
      </c>
      <c r="E27" s="17">
        <f t="shared" si="1"/>
        <v>5.0120005266276078E-3</v>
      </c>
      <c r="F27" s="32">
        <v>5.1400000000000001E-2</v>
      </c>
      <c r="H27" s="24">
        <f>0.5796-0.5791</f>
        <v>5.0000000000005596E-4</v>
      </c>
      <c r="I27" s="22">
        <f>0.5839-0.5796</f>
        <v>4.2999999999999705E-3</v>
      </c>
      <c r="K27" s="34">
        <f t="shared" si="2"/>
        <v>7.7579519006895414E-2</v>
      </c>
      <c r="L27" s="35">
        <f t="shared" si="3"/>
        <v>1.117073853133856</v>
      </c>
      <c r="M27" s="36">
        <f t="shared" si="4"/>
        <v>11170.73853133856</v>
      </c>
      <c r="N27" s="34">
        <f t="shared" si="5"/>
        <v>-0.12385104732358727</v>
      </c>
      <c r="P27" s="34">
        <v>0.68253211197780617</v>
      </c>
      <c r="Q27" s="35">
        <v>5.7191067618234268E-2</v>
      </c>
      <c r="R27" s="36">
        <v>571.91067618234263</v>
      </c>
      <c r="T27" s="22">
        <v>97.88</v>
      </c>
      <c r="U27" s="22">
        <f t="shared" si="6"/>
        <v>2.1200000000000045</v>
      </c>
      <c r="W27" s="35"/>
    </row>
    <row r="28" spans="1:23">
      <c r="A28" s="31" t="s">
        <v>26</v>
      </c>
      <c r="B28" s="32">
        <v>0</v>
      </c>
      <c r="C28" s="30">
        <f t="shared" si="0"/>
        <v>5.5000000000000003E-4</v>
      </c>
      <c r="D28" s="32">
        <v>1.77E-2</v>
      </c>
      <c r="E28" s="17">
        <f t="shared" si="1"/>
        <v>5.1278849318675528E-3</v>
      </c>
      <c r="F28" s="32">
        <v>5.0900000000000001E-2</v>
      </c>
      <c r="H28" s="24">
        <f>0.6407-0.6403</f>
        <v>4.0000000000006697E-4</v>
      </c>
      <c r="I28" s="22">
        <f>0.6453-0.6407</f>
        <v>4.5999999999999375E-3</v>
      </c>
      <c r="K28" s="34">
        <f t="shared" si="2"/>
        <v>0.23382696804354336</v>
      </c>
      <c r="L28" s="35">
        <f t="shared" si="3"/>
        <v>0.82971924354024995</v>
      </c>
      <c r="M28" s="36">
        <f t="shared" si="4"/>
        <v>8297.1924354024995</v>
      </c>
      <c r="N28" s="34">
        <f t="shared" si="5"/>
        <v>2.1459080280495341E-2</v>
      </c>
      <c r="P28" s="34"/>
      <c r="Q28" s="35"/>
      <c r="R28" s="36"/>
      <c r="T28" s="22">
        <v>98.55</v>
      </c>
      <c r="U28" s="22">
        <f t="shared" si="6"/>
        <v>1.4500000000000028</v>
      </c>
      <c r="W28" s="35"/>
    </row>
    <row r="29" spans="1:23">
      <c r="A29" s="31" t="s">
        <v>27</v>
      </c>
      <c r="B29" s="32">
        <v>1E-3</v>
      </c>
      <c r="C29" s="30">
        <f t="shared" si="0"/>
        <v>1.5500000000000002E-3</v>
      </c>
      <c r="D29" s="32">
        <v>1.37E-2</v>
      </c>
      <c r="E29" s="17">
        <f t="shared" si="1"/>
        <v>3.969040879468106E-3</v>
      </c>
      <c r="F29" s="32">
        <v>5.0099999999999999E-2</v>
      </c>
      <c r="H29" s="24">
        <f>0.6557-0.6545</f>
        <v>1.1999999999999789E-3</v>
      </c>
      <c r="I29" s="22">
        <f>0.6585-0.6557</f>
        <v>2.8000000000000247E-3</v>
      </c>
      <c r="K29" s="34">
        <f>100*(C29-H29)/(C29-H29+F29+D29-I29)</f>
        <v>0.57049714751429703</v>
      </c>
      <c r="L29" s="35">
        <f t="shared" si="3"/>
        <v>1.9425427852133383</v>
      </c>
      <c r="M29" s="36">
        <f t="shared" si="4"/>
        <v>19425.427852133384</v>
      </c>
      <c r="N29" s="34">
        <f t="shared" si="5"/>
        <v>0.33456234718829631</v>
      </c>
      <c r="P29" s="34"/>
      <c r="Q29" s="35"/>
      <c r="R29" s="36"/>
      <c r="T29" s="22">
        <v>96.74</v>
      </c>
      <c r="U29" s="22">
        <f t="shared" si="6"/>
        <v>3.2600000000000051</v>
      </c>
      <c r="W29" s="35"/>
    </row>
    <row r="30" spans="1:23">
      <c r="A30" s="31" t="s">
        <v>28</v>
      </c>
      <c r="B30" s="32">
        <v>2.2000000000000001E-3</v>
      </c>
      <c r="C30" s="30">
        <f t="shared" si="0"/>
        <v>2.7500000000000003E-3</v>
      </c>
      <c r="D30" s="32">
        <v>0.01</v>
      </c>
      <c r="E30" s="17">
        <f t="shared" si="1"/>
        <v>2.8971101309986174E-3</v>
      </c>
      <c r="F30" s="32">
        <v>5.0799999999999998E-2</v>
      </c>
      <c r="H30" s="24">
        <f>0.5617-0.5602</f>
        <v>1.4999999999999458E-3</v>
      </c>
      <c r="I30" s="22">
        <f>0.5632-0.5617</f>
        <v>1.5000000000000568E-3</v>
      </c>
      <c r="K30" s="34">
        <f t="shared" si="2"/>
        <v>2.0644095788605359</v>
      </c>
      <c r="L30" s="35">
        <f t="shared" si="3"/>
        <v>2.3618628508134885</v>
      </c>
      <c r="M30" s="36">
        <f t="shared" si="4"/>
        <v>23618.628508134883</v>
      </c>
      <c r="N30" s="34">
        <f t="shared" si="5"/>
        <v>1.7239009083402985</v>
      </c>
      <c r="P30" s="34">
        <v>4.0359583904533824</v>
      </c>
      <c r="Q30" s="35">
        <v>0.33754826237777796</v>
      </c>
      <c r="R30" s="36">
        <v>3375.4826237777797</v>
      </c>
      <c r="T30" s="22">
        <v>92.94</v>
      </c>
      <c r="U30" s="22">
        <f t="shared" si="6"/>
        <v>7.0600000000000023</v>
      </c>
      <c r="W30" s="35"/>
    </row>
    <row r="31" spans="1:23">
      <c r="A31" s="31" t="s">
        <v>29</v>
      </c>
      <c r="B31" s="32">
        <v>3.5999999999999999E-3</v>
      </c>
      <c r="C31" s="30">
        <f t="shared" si="0"/>
        <v>4.15E-3</v>
      </c>
      <c r="D31" s="32">
        <v>5.4999999999999997E-3</v>
      </c>
      <c r="E31" s="17">
        <f t="shared" si="1"/>
        <v>1.5934105720492395E-3</v>
      </c>
      <c r="F31" s="32">
        <v>5.1499999999999997E-2</v>
      </c>
      <c r="H31" s="24">
        <f>0.6609-0.6595</f>
        <v>1.4000000000000679E-3</v>
      </c>
      <c r="I31" s="22">
        <f>0.6621-0.6609</f>
        <v>1.1999999999999789E-3</v>
      </c>
      <c r="K31" s="34">
        <f t="shared" si="2"/>
        <v>4.6968403074294356</v>
      </c>
      <c r="L31" s="35">
        <f t="shared" si="3"/>
        <v>0.67646775011910043</v>
      </c>
      <c r="M31" s="36">
        <f t="shared" si="4"/>
        <v>6764.677501191004</v>
      </c>
      <c r="N31" s="34">
        <f t="shared" si="5"/>
        <v>4.1720614859093752</v>
      </c>
      <c r="P31" s="34">
        <v>4.7611857903894972</v>
      </c>
      <c r="Q31" s="35">
        <v>0.47154811910632116</v>
      </c>
      <c r="R31" s="36">
        <v>4715.4811910632116</v>
      </c>
      <c r="T31" s="22">
        <v>93.74</v>
      </c>
      <c r="U31" s="22">
        <f t="shared" si="6"/>
        <v>6.2600000000000051</v>
      </c>
      <c r="W31" s="35"/>
    </row>
    <row r="32" spans="1:23">
      <c r="A32" s="31" t="s">
        <v>30</v>
      </c>
      <c r="B32" s="32">
        <v>5.1000000000000004E-3</v>
      </c>
      <c r="C32" s="30">
        <f t="shared" si="0"/>
        <v>5.6500000000000005E-3</v>
      </c>
      <c r="D32" s="32">
        <v>0</v>
      </c>
      <c r="E32" s="17">
        <f t="shared" si="1"/>
        <v>0</v>
      </c>
      <c r="F32" s="32">
        <v>5.0700000000000002E-2</v>
      </c>
      <c r="H32" s="24">
        <f>0.6588-0.6576</f>
        <v>1.2000000000000899E-3</v>
      </c>
      <c r="I32" s="22">
        <f>0</f>
        <v>0</v>
      </c>
      <c r="K32" s="34">
        <f t="shared" si="2"/>
        <v>8.0689029918402859</v>
      </c>
      <c r="L32" s="35">
        <f t="shared" si="3"/>
        <v>0</v>
      </c>
      <c r="M32" s="36">
        <f t="shared" si="4"/>
        <v>0</v>
      </c>
      <c r="N32" s="34">
        <f t="shared" si="5"/>
        <v>7.3080797824114665</v>
      </c>
      <c r="P32" s="34">
        <v>5.5533005018335508</v>
      </c>
      <c r="Q32" s="35" t="s">
        <v>89</v>
      </c>
      <c r="R32" s="36"/>
      <c r="T32" s="22">
        <v>92.26</v>
      </c>
      <c r="U32" s="22">
        <f t="shared" si="6"/>
        <v>7.7399999999999949</v>
      </c>
      <c r="W32" s="35"/>
    </row>
    <row r="33" spans="1:28">
      <c r="A33" s="29" t="s">
        <v>31</v>
      </c>
      <c r="B33" s="30">
        <v>3.0000000000000001E-3</v>
      </c>
      <c r="C33" s="30">
        <f t="shared" si="0"/>
        <v>3.5500000000000002E-3</v>
      </c>
      <c r="D33" s="30">
        <v>0</v>
      </c>
      <c r="E33" s="17">
        <f t="shared" si="1"/>
        <v>0</v>
      </c>
      <c r="F33" s="30">
        <v>3.1099999999999999E-2</v>
      </c>
      <c r="H33" s="24"/>
      <c r="K33" s="34"/>
      <c r="P33" s="34"/>
      <c r="Q33" s="35"/>
      <c r="R33" s="36"/>
      <c r="W33" s="35"/>
      <c r="AB33" s="34"/>
    </row>
    <row r="34" spans="1:28">
      <c r="A34" s="29" t="s">
        <v>32</v>
      </c>
      <c r="B34" s="30">
        <v>2E-3</v>
      </c>
      <c r="C34" s="30">
        <f t="shared" si="0"/>
        <v>2.5500000000000002E-3</v>
      </c>
      <c r="D34" s="30">
        <v>2.5999999999999999E-3</v>
      </c>
      <c r="E34" s="17">
        <f t="shared" si="1"/>
        <v>7.5324863405964049E-4</v>
      </c>
      <c r="F34" s="30">
        <v>3.15E-2</v>
      </c>
      <c r="H34" s="24"/>
      <c r="K34" s="34"/>
      <c r="P34" s="34"/>
      <c r="Q34" s="35"/>
      <c r="R34" s="36"/>
      <c r="T34" s="22">
        <v>90.87</v>
      </c>
      <c r="U34" s="22">
        <f t="shared" si="6"/>
        <v>9.1299999999999955</v>
      </c>
      <c r="W34" s="35"/>
      <c r="AB34" s="34"/>
    </row>
    <row r="35" spans="1:28">
      <c r="A35" s="29" t="s">
        <v>33</v>
      </c>
      <c r="B35" s="30">
        <v>1.2999999999999999E-3</v>
      </c>
      <c r="C35" s="30">
        <f t="shared" si="0"/>
        <v>1.8500000000000001E-3</v>
      </c>
      <c r="D35" s="30">
        <v>4.7999999999999996E-3</v>
      </c>
      <c r="E35" s="17">
        <f t="shared" si="1"/>
        <v>1.3906128628793362E-3</v>
      </c>
      <c r="F35" s="30">
        <v>3.1099999999999999E-2</v>
      </c>
      <c r="H35" s="24"/>
      <c r="K35" s="34"/>
      <c r="P35" s="34">
        <v>2.9028769097106335</v>
      </c>
      <c r="Q35" s="35">
        <v>0.11312566892139392</v>
      </c>
      <c r="R35" s="36">
        <v>1131.2566892139391</v>
      </c>
      <c r="T35" s="22">
        <v>96.88</v>
      </c>
      <c r="U35" s="22">
        <f t="shared" si="6"/>
        <v>3.1200000000000045</v>
      </c>
      <c r="W35" s="35"/>
      <c r="AB35" s="34"/>
    </row>
    <row r="36" spans="1:28">
      <c r="A36" s="29" t="s">
        <v>34</v>
      </c>
      <c r="B36" s="30">
        <v>5.9999999999999995E-4</v>
      </c>
      <c r="C36" s="30">
        <f t="shared" si="0"/>
        <v>1.15E-3</v>
      </c>
      <c r="D36" s="30">
        <v>7.1000000000000004E-3</v>
      </c>
      <c r="E36" s="17">
        <f t="shared" si="1"/>
        <v>2.0569481930090183E-3</v>
      </c>
      <c r="F36" s="30">
        <v>3.0300000000000001E-2</v>
      </c>
      <c r="H36" s="24"/>
      <c r="K36" s="34"/>
      <c r="P36" s="34"/>
      <c r="Q36" s="35"/>
      <c r="R36" s="36"/>
      <c r="T36" s="22">
        <v>98.24</v>
      </c>
      <c r="U36" s="22">
        <f t="shared" si="6"/>
        <v>1.7600000000000051</v>
      </c>
      <c r="W36" s="35"/>
      <c r="AB36" s="34"/>
    </row>
    <row r="37" spans="1:28">
      <c r="A37" s="29" t="s">
        <v>35</v>
      </c>
      <c r="B37" s="30">
        <v>0</v>
      </c>
      <c r="C37" s="30">
        <f t="shared" si="0"/>
        <v>5.5000000000000003E-4</v>
      </c>
      <c r="D37" s="30">
        <v>1.9900000000000001E-2</v>
      </c>
      <c r="E37" s="17">
        <f t="shared" si="1"/>
        <v>5.7652491606872492E-3</v>
      </c>
      <c r="F37" s="30">
        <v>6.2799999999999995E-2</v>
      </c>
      <c r="H37" s="24">
        <f>0.6725-0.6721</f>
        <v>3.9999999999995595E-4</v>
      </c>
      <c r="I37" s="22">
        <f>0.6774-0.6725</f>
        <v>4.9000000000000155E-3</v>
      </c>
      <c r="K37" s="34">
        <f t="shared" si="2"/>
        <v>0.19243104554207063</v>
      </c>
      <c r="L37" s="35">
        <f t="shared" ref="L37:L63" si="7">100*(E37-I37)/(F37+C37-H37+D37-E37)</f>
        <v>1.1224647563444696</v>
      </c>
      <c r="M37" s="36">
        <f t="shared" si="4"/>
        <v>11224.647563444696</v>
      </c>
      <c r="N37" s="34">
        <f>0.95*K37+0.514</f>
        <v>0.69680949326496711</v>
      </c>
      <c r="P37" s="34">
        <v>0.72589949377470253</v>
      </c>
      <c r="Q37" s="35">
        <v>5.3072627205644284E-2</v>
      </c>
      <c r="R37" s="36">
        <v>530.72627205644278</v>
      </c>
      <c r="T37" s="22">
        <v>94.67</v>
      </c>
      <c r="U37" s="22">
        <f t="shared" si="6"/>
        <v>5.3299999999999983</v>
      </c>
      <c r="W37" s="35"/>
      <c r="AB37" s="34"/>
    </row>
    <row r="38" spans="1:28">
      <c r="A38" s="29" t="s">
        <v>36</v>
      </c>
      <c r="B38" s="30">
        <v>1.1000000000000001E-3</v>
      </c>
      <c r="C38" s="30">
        <f t="shared" si="0"/>
        <v>1.65E-3</v>
      </c>
      <c r="D38" s="30">
        <v>4.7000000000000002E-3</v>
      </c>
      <c r="E38" s="17">
        <f t="shared" si="1"/>
        <v>1.3616417615693504E-3</v>
      </c>
      <c r="F38" s="30">
        <v>0.06</v>
      </c>
      <c r="H38" s="24">
        <f>0.6768-0.6762</f>
        <v>5.9999999999993392E-4</v>
      </c>
      <c r="I38" s="22">
        <f>0.678-0.6768</f>
        <v>1.2000000000000899E-3</v>
      </c>
      <c r="K38" s="34">
        <f t="shared" si="2"/>
        <v>1.6266460108444099</v>
      </c>
      <c r="L38" s="35">
        <f t="shared" si="7"/>
        <v>0.25104190569776524</v>
      </c>
      <c r="M38" s="36">
        <f t="shared" si="4"/>
        <v>2510.4190569776524</v>
      </c>
      <c r="N38" s="34">
        <f t="shared" ref="N38:N63" si="8">0.95*K38+0.514</f>
        <v>2.059313710302189</v>
      </c>
      <c r="P38" s="34">
        <v>1.5160282750688125</v>
      </c>
      <c r="Q38" s="35">
        <v>6.7727145514884832E-2</v>
      </c>
      <c r="R38" s="36">
        <v>677.2714551488483</v>
      </c>
      <c r="T38" s="22">
        <v>92.05</v>
      </c>
      <c r="U38" s="22">
        <f t="shared" si="6"/>
        <v>7.9500000000000028</v>
      </c>
      <c r="W38" s="35"/>
      <c r="AB38" s="34"/>
    </row>
    <row r="39" spans="1:28">
      <c r="A39" s="29" t="s">
        <v>37</v>
      </c>
      <c r="B39" s="30">
        <v>2.5999999999999999E-3</v>
      </c>
      <c r="C39" s="30">
        <f t="shared" si="0"/>
        <v>3.15E-3</v>
      </c>
      <c r="D39" s="30">
        <v>1.12E-2</v>
      </c>
      <c r="E39" s="17">
        <f t="shared" si="1"/>
        <v>3.2447633467184516E-3</v>
      </c>
      <c r="F39" s="30">
        <v>6.2E-2</v>
      </c>
      <c r="H39" s="24">
        <f>0.6695-0.6676</f>
        <v>1.9000000000000128E-3</v>
      </c>
      <c r="I39" s="22">
        <f>0.6726-0.6695</f>
        <v>3.0999999999999917E-3</v>
      </c>
      <c r="K39" s="34">
        <f t="shared" si="2"/>
        <v>1.7519271198317972</v>
      </c>
      <c r="L39" s="35">
        <f t="shared" si="7"/>
        <v>0.20330435445830156</v>
      </c>
      <c r="M39" s="36">
        <f t="shared" si="4"/>
        <v>2033.0435445830155</v>
      </c>
      <c r="N39" s="34">
        <f t="shared" si="8"/>
        <v>2.178330763840207</v>
      </c>
      <c r="P39" s="34"/>
      <c r="Q39" s="35"/>
      <c r="R39" s="36"/>
      <c r="T39" s="22">
        <v>92.99</v>
      </c>
      <c r="U39" s="22">
        <f t="shared" si="6"/>
        <v>7.0100000000000051</v>
      </c>
      <c r="W39" s="35"/>
      <c r="AB39" s="34"/>
    </row>
    <row r="40" spans="1:28">
      <c r="A40" s="29" t="s">
        <v>38</v>
      </c>
      <c r="B40" s="30">
        <v>4.1999999999999997E-3</v>
      </c>
      <c r="C40" s="30">
        <f t="shared" si="0"/>
        <v>4.7499999999999999E-3</v>
      </c>
      <c r="D40" s="30">
        <v>6.4999999999999997E-3</v>
      </c>
      <c r="E40" s="17">
        <f t="shared" si="1"/>
        <v>1.8831215851491012E-3</v>
      </c>
      <c r="F40" s="30">
        <v>6.0499999999999998E-2</v>
      </c>
      <c r="H40" s="24">
        <f>0.6648-0.6622</f>
        <v>2.5999999999999357E-3</v>
      </c>
      <c r="I40" s="22">
        <f>0.6666-0.6648</f>
        <v>1.8000000000000238E-3</v>
      </c>
      <c r="K40" s="39">
        <f t="shared" si="2"/>
        <v>3.1922791388271157</v>
      </c>
      <c r="L40" s="35">
        <f t="shared" si="7"/>
        <v>0.12356985652945968</v>
      </c>
      <c r="M40" s="36">
        <f t="shared" si="4"/>
        <v>1235.6985652945968</v>
      </c>
      <c r="N40" s="34">
        <f t="shared" si="8"/>
        <v>3.5466651818857597</v>
      </c>
      <c r="P40" s="34"/>
      <c r="Q40" s="35"/>
      <c r="R40" s="36"/>
      <c r="T40" s="22">
        <v>91.56</v>
      </c>
      <c r="U40" s="22">
        <f t="shared" si="6"/>
        <v>8.4399999999999977</v>
      </c>
      <c r="W40" s="35"/>
      <c r="AB40" s="34"/>
    </row>
    <row r="41" spans="1:28">
      <c r="A41" s="29" t="s">
        <v>39</v>
      </c>
      <c r="B41" s="30">
        <v>0</v>
      </c>
      <c r="C41" s="30">
        <f t="shared" si="0"/>
        <v>5.5000000000000003E-4</v>
      </c>
      <c r="D41" s="30">
        <v>2.2200000000000001E-2</v>
      </c>
      <c r="E41" s="17">
        <f t="shared" si="1"/>
        <v>6.4315844908169311E-3</v>
      </c>
      <c r="F41" s="30">
        <v>6.0199999999999997E-2</v>
      </c>
      <c r="H41" s="24">
        <f>0.6939-0.6933</f>
        <v>5.9999999999993392E-4</v>
      </c>
      <c r="I41" s="22">
        <f>0.6997-0.6939</f>
        <v>5.8000000000000274E-3</v>
      </c>
      <c r="K41" s="39">
        <f t="shared" si="2"/>
        <v>-6.5316786414022027E-2</v>
      </c>
      <c r="L41" s="35">
        <f t="shared" si="7"/>
        <v>0.83192528002709309</v>
      </c>
      <c r="M41" s="36">
        <f t="shared" si="4"/>
        <v>8319.2528002709314</v>
      </c>
      <c r="N41" s="34">
        <f t="shared" si="8"/>
        <v>0.45194905290667908</v>
      </c>
      <c r="P41" s="34"/>
      <c r="Q41" s="35"/>
      <c r="R41" s="36"/>
      <c r="T41" s="22">
        <v>96.57</v>
      </c>
      <c r="U41" s="22">
        <f t="shared" si="6"/>
        <v>3.4300000000000068</v>
      </c>
      <c r="W41" s="35"/>
      <c r="AB41" s="34"/>
    </row>
    <row r="42" spans="1:28">
      <c r="A42" s="29" t="s">
        <v>40</v>
      </c>
      <c r="B42" s="30">
        <v>1E-3</v>
      </c>
      <c r="C42" s="30">
        <f t="shared" si="0"/>
        <v>1.5500000000000002E-3</v>
      </c>
      <c r="D42" s="30">
        <v>1.34E-2</v>
      </c>
      <c r="E42" s="17">
        <f t="shared" si="1"/>
        <v>3.8821275755381475E-3</v>
      </c>
      <c r="F42" s="30">
        <v>4.99E-2</v>
      </c>
      <c r="H42" s="24">
        <f>0.6802-0.6792</f>
        <v>1.0000000000000009E-3</v>
      </c>
      <c r="I42" s="22">
        <f>0.6834-0.6802</f>
        <v>3.1999999999999806E-3</v>
      </c>
      <c r="K42" s="39">
        <f t="shared" si="2"/>
        <v>0.90684253915910806</v>
      </c>
      <c r="L42" s="35">
        <f t="shared" si="7"/>
        <v>1.1374883716233295</v>
      </c>
      <c r="M42" s="36">
        <f t="shared" si="4"/>
        <v>11374.883716233295</v>
      </c>
      <c r="N42" s="34">
        <f t="shared" si="8"/>
        <v>1.3755004122011525</v>
      </c>
      <c r="P42" s="34">
        <v>1.908399236587121</v>
      </c>
      <c r="Q42" s="35">
        <v>0.3074069381860744</v>
      </c>
      <c r="R42" s="36">
        <v>3074.0693818607438</v>
      </c>
      <c r="T42" s="22">
        <v>93.7</v>
      </c>
      <c r="U42" s="22">
        <f t="shared" si="6"/>
        <v>6.2999999999999972</v>
      </c>
      <c r="W42" s="35"/>
      <c r="AB42" s="34"/>
    </row>
    <row r="43" spans="1:28">
      <c r="A43" s="29" t="s">
        <v>41</v>
      </c>
      <c r="B43" s="30">
        <v>2.2000000000000001E-3</v>
      </c>
      <c r="C43" s="30">
        <f t="shared" si="0"/>
        <v>2.7500000000000003E-3</v>
      </c>
      <c r="D43" s="30">
        <v>1.0200000000000001E-2</v>
      </c>
      <c r="E43" s="17">
        <f t="shared" si="1"/>
        <v>2.9550523336185899E-3</v>
      </c>
      <c r="F43" s="30">
        <v>5.0099999999999999E-2</v>
      </c>
      <c r="H43" s="24">
        <f>0.6686-0.6673</f>
        <v>1.2999999999999678E-3</v>
      </c>
      <c r="I43" s="22">
        <f>0.6713-0.6686</f>
        <v>2.7000000000000357E-3</v>
      </c>
      <c r="K43" s="39">
        <f t="shared" si="2"/>
        <v>2.4555461473328237</v>
      </c>
      <c r="L43" s="35">
        <f t="shared" si="7"/>
        <v>0.43379974596761384</v>
      </c>
      <c r="M43" s="36">
        <f t="shared" si="4"/>
        <v>4337.9974596761385</v>
      </c>
      <c r="N43" s="34">
        <f t="shared" si="8"/>
        <v>2.8467688399661828</v>
      </c>
      <c r="P43" s="34">
        <v>3.3265649461020952</v>
      </c>
      <c r="Q43" s="35">
        <v>0.43377130003442688</v>
      </c>
      <c r="R43" s="36">
        <v>4337.7130003442689</v>
      </c>
      <c r="T43" s="22">
        <v>94.2</v>
      </c>
      <c r="U43" s="22">
        <f t="shared" si="6"/>
        <v>5.7999999999999972</v>
      </c>
      <c r="W43" s="35"/>
      <c r="AB43" s="34"/>
    </row>
    <row r="44" spans="1:28">
      <c r="A44" s="29" t="s">
        <v>42</v>
      </c>
      <c r="B44" s="30">
        <v>3.5000000000000001E-3</v>
      </c>
      <c r="C44" s="30">
        <f t="shared" si="0"/>
        <v>4.0499999999999998E-3</v>
      </c>
      <c r="D44" s="30">
        <v>5.1000000000000004E-3</v>
      </c>
      <c r="E44" s="17">
        <f t="shared" si="1"/>
        <v>1.4775261668092949E-3</v>
      </c>
      <c r="F44" s="30">
        <v>5.0099999999999999E-2</v>
      </c>
      <c r="H44" s="24">
        <f>0.6614-0.6593</f>
        <v>2.0999999999999908E-3</v>
      </c>
      <c r="I44" s="22">
        <f>0.6629-0.6614</f>
        <v>1.5000000000000568E-3</v>
      </c>
      <c r="K44" s="39">
        <f t="shared" si="2"/>
        <v>3.5040431266846555</v>
      </c>
      <c r="L44" s="35">
        <f t="shared" si="7"/>
        <v>-4.0367944234163865E-2</v>
      </c>
      <c r="M44" s="36">
        <f t="shared" si="4"/>
        <v>-403.67944234163866</v>
      </c>
      <c r="N44" s="34">
        <f t="shared" si="8"/>
        <v>3.8428409703504229</v>
      </c>
      <c r="P44" s="34"/>
      <c r="Q44" s="35"/>
      <c r="R44" s="36"/>
      <c r="T44" s="22">
        <v>95.16</v>
      </c>
      <c r="U44" s="22">
        <f t="shared" si="6"/>
        <v>4.8400000000000034</v>
      </c>
      <c r="W44" s="35"/>
      <c r="AB44" s="34"/>
    </row>
    <row r="45" spans="1:28">
      <c r="A45" s="29" t="s">
        <v>43</v>
      </c>
      <c r="B45" s="30">
        <v>5.0000000000000001E-3</v>
      </c>
      <c r="C45" s="30">
        <f t="shared" si="0"/>
        <v>5.5500000000000002E-3</v>
      </c>
      <c r="D45" s="30">
        <v>0</v>
      </c>
      <c r="E45" s="17">
        <f t="shared" si="1"/>
        <v>0</v>
      </c>
      <c r="F45" s="30">
        <v>5.2699999999999997E-2</v>
      </c>
      <c r="H45" s="24">
        <f>0.6674-0.6639</f>
        <v>3.4999999999999476E-3</v>
      </c>
      <c r="I45" s="22">
        <v>0</v>
      </c>
      <c r="K45" s="39">
        <f t="shared" si="2"/>
        <v>3.7442922374430152</v>
      </c>
      <c r="L45" s="35">
        <f t="shared" si="7"/>
        <v>0</v>
      </c>
      <c r="M45" s="36">
        <f t="shared" si="4"/>
        <v>0</v>
      </c>
      <c r="N45" s="34">
        <f t="shared" si="8"/>
        <v>4.0710776255708643</v>
      </c>
      <c r="P45" s="34"/>
      <c r="Q45" s="35"/>
      <c r="R45" s="36"/>
      <c r="W45" s="35"/>
      <c r="AB45" s="34"/>
    </row>
    <row r="46" spans="1:28">
      <c r="A46" s="29" t="s">
        <v>44</v>
      </c>
      <c r="B46" s="30">
        <v>5.0000000000000001E-3</v>
      </c>
      <c r="C46" s="30">
        <f t="shared" si="0"/>
        <v>5.5500000000000002E-3</v>
      </c>
      <c r="D46" s="30">
        <v>0</v>
      </c>
      <c r="E46" s="17">
        <f t="shared" si="1"/>
        <v>0</v>
      </c>
      <c r="F46" s="30">
        <v>5.1299999999999998E-2</v>
      </c>
      <c r="H46" s="24">
        <v>2.3999999999999998E-3</v>
      </c>
      <c r="I46" s="22">
        <v>0</v>
      </c>
      <c r="K46" s="39">
        <f t="shared" si="2"/>
        <v>5.7851239669421499</v>
      </c>
      <c r="L46" s="35">
        <f t="shared" si="7"/>
        <v>0</v>
      </c>
      <c r="M46" s="36">
        <f t="shared" si="4"/>
        <v>0</v>
      </c>
      <c r="N46" s="34">
        <f t="shared" si="8"/>
        <v>6.0098677685950426</v>
      </c>
      <c r="P46" s="34"/>
      <c r="Q46" s="35"/>
      <c r="R46" s="36"/>
      <c r="W46" s="35"/>
      <c r="AB46" s="34"/>
    </row>
    <row r="47" spans="1:28">
      <c r="A47" s="29" t="s">
        <v>45</v>
      </c>
      <c r="B47" s="30">
        <v>3.5999999999999999E-3</v>
      </c>
      <c r="C47" s="30">
        <f t="shared" si="0"/>
        <v>4.15E-3</v>
      </c>
      <c r="D47" s="30">
        <v>5.4000000000000003E-3</v>
      </c>
      <c r="E47" s="17">
        <f t="shared" si="1"/>
        <v>1.5644394707392535E-3</v>
      </c>
      <c r="F47" s="30">
        <v>5.1400000000000001E-2</v>
      </c>
      <c r="H47" s="24">
        <v>1.1000000000000001E-3</v>
      </c>
      <c r="I47" s="22">
        <v>1.6999999999999999E-3</v>
      </c>
      <c r="K47" s="39">
        <f t="shared" si="2"/>
        <v>5.2450558899398105</v>
      </c>
      <c r="L47" s="35">
        <f t="shared" si="7"/>
        <v>-0.23257995295883233</v>
      </c>
      <c r="M47" s="36">
        <f t="shared" si="4"/>
        <v>-2325.7995295883234</v>
      </c>
      <c r="N47" s="34">
        <f t="shared" si="8"/>
        <v>5.4968030954428198</v>
      </c>
      <c r="P47" s="34">
        <v>1.6531961404362066</v>
      </c>
      <c r="Q47" s="35">
        <v>0.1256321369682302</v>
      </c>
      <c r="R47" s="36">
        <v>1256.321369682302</v>
      </c>
      <c r="T47" s="22">
        <v>92.55</v>
      </c>
      <c r="U47" s="22">
        <f t="shared" si="6"/>
        <v>7.4500000000000028</v>
      </c>
      <c r="W47" s="35"/>
    </row>
    <row r="48" spans="1:28">
      <c r="A48" s="29" t="s">
        <v>46</v>
      </c>
      <c r="B48" s="30">
        <v>2.2000000000000001E-3</v>
      </c>
      <c r="C48" s="30">
        <f t="shared" si="0"/>
        <v>2.7500000000000003E-3</v>
      </c>
      <c r="D48" s="30">
        <v>0.01</v>
      </c>
      <c r="E48" s="17">
        <f t="shared" si="1"/>
        <v>2.8971101309986174E-3</v>
      </c>
      <c r="F48" s="30">
        <v>5.1499999999999997E-2</v>
      </c>
      <c r="H48" s="24">
        <f>0.8736-0.8726</f>
        <v>1.0000000000000009E-3</v>
      </c>
      <c r="I48" s="22">
        <f>0.8762-0.8736</f>
        <v>2.5999999999999357E-3</v>
      </c>
      <c r="K48" s="39">
        <f t="shared" si="2"/>
        <v>2.8854080791426173</v>
      </c>
      <c r="L48" s="35">
        <f t="shared" si="7"/>
        <v>0.49228815992667851</v>
      </c>
      <c r="M48" s="36">
        <f t="shared" si="4"/>
        <v>4922.8815992667851</v>
      </c>
      <c r="N48" s="34">
        <f t="shared" si="8"/>
        <v>3.2551376751854866</v>
      </c>
      <c r="P48" s="34">
        <v>2.7898148619644725</v>
      </c>
      <c r="Q48" s="35">
        <v>0.2797788627639039</v>
      </c>
      <c r="R48" s="36">
        <v>2797.7886276390391</v>
      </c>
      <c r="T48" s="22">
        <v>95.28</v>
      </c>
      <c r="U48" s="22">
        <f t="shared" si="6"/>
        <v>4.7199999999999989</v>
      </c>
      <c r="W48" s="35"/>
    </row>
    <row r="49" spans="1:28">
      <c r="A49" s="29" t="s">
        <v>47</v>
      </c>
      <c r="B49" s="30">
        <v>1E-3</v>
      </c>
      <c r="C49" s="30">
        <f t="shared" si="0"/>
        <v>1.5500000000000002E-3</v>
      </c>
      <c r="D49" s="30">
        <v>1.35E-2</v>
      </c>
      <c r="E49" s="17">
        <f t="shared" si="1"/>
        <v>3.911098676848134E-3</v>
      </c>
      <c r="F49" s="30">
        <v>5.0700000000000002E-2</v>
      </c>
      <c r="H49" s="24">
        <f>0.8802-0.8797</f>
        <v>4.9999999999994493E-4</v>
      </c>
      <c r="I49" s="22">
        <f>0.8837-0.8802</f>
        <v>3.5000000000000586E-3</v>
      </c>
      <c r="K49" s="39">
        <f t="shared" si="2"/>
        <v>1.7004048582996845</v>
      </c>
      <c r="L49" s="35">
        <f t="shared" si="7"/>
        <v>0.67020873863110619</v>
      </c>
      <c r="M49" s="36">
        <f t="shared" si="4"/>
        <v>6702.0873863110619</v>
      </c>
      <c r="N49" s="34">
        <f t="shared" si="8"/>
        <v>2.1293846153847005</v>
      </c>
      <c r="P49" s="34"/>
      <c r="Q49" s="35"/>
      <c r="R49" s="36"/>
      <c r="T49" s="22">
        <v>96.02</v>
      </c>
      <c r="U49" s="22">
        <f t="shared" si="6"/>
        <v>3.980000000000004</v>
      </c>
      <c r="W49" s="35"/>
    </row>
    <row r="50" spans="1:28">
      <c r="A50" s="29" t="s">
        <v>48</v>
      </c>
      <c r="B50" s="30">
        <v>0</v>
      </c>
      <c r="C50" s="30">
        <f t="shared" si="0"/>
        <v>5.5000000000000003E-4</v>
      </c>
      <c r="D50" s="30">
        <v>1.72E-2</v>
      </c>
      <c r="E50" s="17">
        <f t="shared" si="1"/>
        <v>4.9830294253176222E-3</v>
      </c>
      <c r="F50" s="30">
        <v>5.0299999999999997E-2</v>
      </c>
      <c r="H50" s="24">
        <f>0.8578-0.8575</f>
        <v>2.9999999999996696E-4</v>
      </c>
      <c r="I50" s="22">
        <f>0.8624-0.8578</f>
        <v>4.6000000000000485E-3</v>
      </c>
      <c r="K50" s="39">
        <f t="shared" si="2"/>
        <v>0.3958828186857215</v>
      </c>
      <c r="L50" s="35">
        <f t="shared" si="7"/>
        <v>0.61024042073502882</v>
      </c>
      <c r="M50" s="36">
        <f t="shared" si="4"/>
        <v>6102.4042073502878</v>
      </c>
      <c r="N50" s="34">
        <f t="shared" si="8"/>
        <v>0.89008867775143541</v>
      </c>
      <c r="P50" s="34">
        <v>1.1101264984780219</v>
      </c>
      <c r="Q50" s="35">
        <v>0.26284430722366781</v>
      </c>
      <c r="R50" s="36">
        <v>2628.4430722366778</v>
      </c>
      <c r="T50" s="22">
        <v>97.21</v>
      </c>
      <c r="U50" s="22">
        <f t="shared" si="6"/>
        <v>2.7900000000000063</v>
      </c>
      <c r="W50" s="35"/>
    </row>
    <row r="51" spans="1:28">
      <c r="A51" s="29" t="s">
        <v>50</v>
      </c>
      <c r="B51" s="30">
        <v>4.8999999999999998E-3</v>
      </c>
      <c r="C51" s="30">
        <f>B51+0.00055</f>
        <v>5.45E-3</v>
      </c>
      <c r="D51" s="30">
        <v>0</v>
      </c>
      <c r="E51" s="17">
        <f>D51*(88.02/(88.02+215.8))</f>
        <v>0</v>
      </c>
      <c r="F51" s="30">
        <v>5.0700000000000002E-2</v>
      </c>
      <c r="H51" s="24">
        <f>0.6293-0.627</f>
        <v>2.2999999999999687E-3</v>
      </c>
      <c r="I51" s="22">
        <f>0.6292-0.6292</f>
        <v>0</v>
      </c>
      <c r="K51" s="39">
        <f t="shared" si="2"/>
        <v>5.8495821727020036</v>
      </c>
      <c r="L51" s="35">
        <f t="shared" si="7"/>
        <v>0</v>
      </c>
      <c r="M51" s="36">
        <f t="shared" si="4"/>
        <v>0</v>
      </c>
      <c r="N51" s="34">
        <f t="shared" si="8"/>
        <v>6.0711030640669037</v>
      </c>
      <c r="P51" s="34"/>
      <c r="Q51" s="35"/>
      <c r="R51" s="36"/>
      <c r="W51" s="35"/>
      <c r="AB51" s="34"/>
    </row>
    <row r="52" spans="1:28">
      <c r="A52" s="29" t="s">
        <v>49</v>
      </c>
      <c r="B52" s="30">
        <v>3.5999999999999999E-3</v>
      </c>
      <c r="C52" s="30">
        <f t="shared" si="0"/>
        <v>4.15E-3</v>
      </c>
      <c r="D52" s="30">
        <v>5.5999999999999999E-3</v>
      </c>
      <c r="E52" s="17">
        <f t="shared" si="1"/>
        <v>1.6223816733592258E-3</v>
      </c>
      <c r="F52" s="30">
        <v>5.1499999999999997E-2</v>
      </c>
      <c r="H52" s="24">
        <f>0.5685-0.5661</f>
        <v>2.3999999999999577E-3</v>
      </c>
      <c r="I52" s="22">
        <f>0.5697-0.5685</f>
        <v>1.1999999999999789E-3</v>
      </c>
      <c r="K52" s="39">
        <f t="shared" si="2"/>
        <v>3.0355594102342418</v>
      </c>
      <c r="L52" s="35">
        <f t="shared" si="7"/>
        <v>0.73807312921603485</v>
      </c>
      <c r="M52" s="36">
        <f t="shared" si="4"/>
        <v>7380.7312921603489</v>
      </c>
      <c r="N52" s="34">
        <f t="shared" si="8"/>
        <v>3.3977814397225297</v>
      </c>
      <c r="P52" s="34"/>
      <c r="Q52" s="35"/>
      <c r="R52" s="36"/>
      <c r="W52" s="35"/>
      <c r="AB52" s="34"/>
    </row>
    <row r="53" spans="1:28">
      <c r="A53" s="29" t="s">
        <v>51</v>
      </c>
      <c r="B53" s="30">
        <v>2.3E-3</v>
      </c>
      <c r="C53" s="30">
        <f t="shared" si="0"/>
        <v>2.8500000000000001E-3</v>
      </c>
      <c r="D53" s="30">
        <v>1.0200000000000001E-2</v>
      </c>
      <c r="E53" s="17">
        <f t="shared" si="1"/>
        <v>2.9550523336185899E-3</v>
      </c>
      <c r="F53" s="30">
        <v>5.0900000000000001E-2</v>
      </c>
      <c r="H53" s="24">
        <f>0.5812-0.5803</f>
        <v>9.000000000000119E-4</v>
      </c>
      <c r="I53" s="22">
        <f>0.5841-0.5812</f>
        <v>2.8999999999999027E-3</v>
      </c>
      <c r="K53" s="39">
        <f t="shared" si="2"/>
        <v>3.2418952618453618</v>
      </c>
      <c r="L53" s="35">
        <f t="shared" si="7"/>
        <v>9.1608921808721155E-2</v>
      </c>
      <c r="M53" s="36">
        <f t="shared" si="4"/>
        <v>916.08921808721152</v>
      </c>
      <c r="N53" s="34">
        <f t="shared" si="8"/>
        <v>3.5938004987530938</v>
      </c>
      <c r="P53" s="34"/>
      <c r="Q53" s="35"/>
      <c r="R53" s="36"/>
      <c r="T53" s="22">
        <v>96.65</v>
      </c>
      <c r="U53" s="22">
        <f t="shared" si="6"/>
        <v>3.3499999999999943</v>
      </c>
      <c r="W53" s="35"/>
      <c r="AB53" s="34"/>
    </row>
    <row r="54" spans="1:28">
      <c r="A54" s="29" t="s">
        <v>52</v>
      </c>
      <c r="B54" s="30">
        <v>1E-3</v>
      </c>
      <c r="C54" s="30">
        <f t="shared" si="0"/>
        <v>1.5500000000000002E-3</v>
      </c>
      <c r="D54" s="30">
        <v>1.37E-2</v>
      </c>
      <c r="E54" s="17">
        <f t="shared" si="1"/>
        <v>3.969040879468106E-3</v>
      </c>
      <c r="F54" s="30">
        <v>5.1799999999999999E-2</v>
      </c>
      <c r="H54" s="24">
        <f>0.5803-0.5796</f>
        <v>7.0000000000003393E-4</v>
      </c>
      <c r="I54" s="22">
        <f>0.5839-0.5803</f>
        <v>3.5999999999999366E-3</v>
      </c>
      <c r="K54" s="39">
        <f t="shared" si="2"/>
        <v>1.3545816733067184</v>
      </c>
      <c r="L54" s="35">
        <f t="shared" si="7"/>
        <v>0.59159218561406279</v>
      </c>
      <c r="M54" s="36">
        <f t="shared" si="4"/>
        <v>5915.9218561406278</v>
      </c>
      <c r="N54" s="34">
        <f t="shared" si="8"/>
        <v>1.8008525896413825</v>
      </c>
      <c r="P54" s="34"/>
      <c r="Q54" s="35"/>
      <c r="R54" s="36"/>
      <c r="T54" s="22">
        <v>92.24</v>
      </c>
      <c r="U54" s="22">
        <f t="shared" si="6"/>
        <v>7.7600000000000051</v>
      </c>
      <c r="W54" s="35"/>
      <c r="AB54" s="34"/>
    </row>
    <row r="55" spans="1:28">
      <c r="A55" s="29" t="s">
        <v>53</v>
      </c>
      <c r="B55" s="30">
        <v>0</v>
      </c>
      <c r="C55" s="30">
        <f t="shared" si="0"/>
        <v>5.5000000000000003E-4</v>
      </c>
      <c r="D55" s="30">
        <v>1.77E-2</v>
      </c>
      <c r="E55" s="17">
        <f t="shared" si="1"/>
        <v>5.1278849318675528E-3</v>
      </c>
      <c r="F55" s="30">
        <v>5.0099999999999999E-2</v>
      </c>
      <c r="H55" s="24">
        <f>0.5844-0.5839</f>
        <v>5.0000000000005596E-4</v>
      </c>
      <c r="I55" s="22">
        <f>0.5891-0.5844</f>
        <v>4.6999999999999265E-3</v>
      </c>
      <c r="K55" s="39">
        <f t="shared" si="2"/>
        <v>7.917656373704525E-2</v>
      </c>
      <c r="L55" s="35">
        <f t="shared" si="7"/>
        <v>0.68219149083673769</v>
      </c>
      <c r="M55" s="36">
        <f t="shared" si="4"/>
        <v>6821.9149083673765</v>
      </c>
      <c r="N55" s="34">
        <f t="shared" si="8"/>
        <v>0.58921773555019297</v>
      </c>
      <c r="P55" s="34"/>
      <c r="Q55" s="35"/>
      <c r="R55" s="36"/>
      <c r="T55" s="22">
        <v>95.99</v>
      </c>
      <c r="U55" s="22">
        <f t="shared" si="6"/>
        <v>4.0100000000000051</v>
      </c>
      <c r="W55" s="35"/>
      <c r="AB55" s="34"/>
    </row>
    <row r="56" spans="1:28">
      <c r="A56" s="29" t="s">
        <v>54</v>
      </c>
      <c r="B56" s="30">
        <v>0</v>
      </c>
      <c r="C56" s="30">
        <f t="shared" si="0"/>
        <v>5.5000000000000003E-4</v>
      </c>
      <c r="D56" s="30">
        <v>1.7899999999999999E-2</v>
      </c>
      <c r="E56" s="17">
        <f t="shared" si="1"/>
        <v>5.1858271344875249E-3</v>
      </c>
      <c r="F56" s="30">
        <v>5.0200000000000002E-2</v>
      </c>
      <c r="H56" s="24">
        <f>0.5923-0.592</f>
        <v>3.0000000000007798E-4</v>
      </c>
      <c r="I56" s="22">
        <f>0.5972-0.5923</f>
        <v>4.8999999999999044E-3</v>
      </c>
      <c r="K56" s="39">
        <f t="shared" si="2"/>
        <v>0.39401103230878171</v>
      </c>
      <c r="L56" s="35">
        <f t="shared" si="7"/>
        <v>0.45251464797330054</v>
      </c>
      <c r="M56" s="36">
        <f t="shared" si="4"/>
        <v>4525.1464797330054</v>
      </c>
      <c r="N56" s="34">
        <f t="shared" si="8"/>
        <v>0.88831048069334262</v>
      </c>
      <c r="P56" s="34"/>
      <c r="Q56" s="35"/>
      <c r="R56" s="36"/>
      <c r="W56" s="35"/>
      <c r="AB56" s="34"/>
    </row>
    <row r="57" spans="1:28">
      <c r="A57" s="29" t="s">
        <v>55</v>
      </c>
      <c r="B57" s="30">
        <v>1E-3</v>
      </c>
      <c r="C57" s="30">
        <f t="shared" si="0"/>
        <v>1.5500000000000002E-3</v>
      </c>
      <c r="D57" s="30">
        <v>1.41E-2</v>
      </c>
      <c r="E57" s="17">
        <f t="shared" si="1"/>
        <v>4.0849252847080502E-3</v>
      </c>
      <c r="F57" s="30">
        <v>5.2200000000000003E-2</v>
      </c>
      <c r="H57" s="24">
        <f>0.5792-0.5785</f>
        <v>7.0000000000003393E-4</v>
      </c>
      <c r="I57" s="22">
        <f>0.583-0.5792</f>
        <v>3.7999999999999146E-3</v>
      </c>
      <c r="K57" s="39">
        <f t="shared" si="2"/>
        <v>1.3417521704813977</v>
      </c>
      <c r="L57" s="35">
        <f t="shared" si="7"/>
        <v>0.45179568246677648</v>
      </c>
      <c r="M57" s="36">
        <f t="shared" si="4"/>
        <v>4517.9568246677645</v>
      </c>
      <c r="N57" s="34">
        <f t="shared" si="8"/>
        <v>1.7886645619573278</v>
      </c>
      <c r="P57" s="34"/>
      <c r="Q57" s="35"/>
      <c r="R57" s="36"/>
      <c r="W57" s="35"/>
      <c r="AB57" s="34"/>
    </row>
    <row r="58" spans="1:28">
      <c r="A58" s="29" t="s">
        <v>56</v>
      </c>
      <c r="B58" s="30">
        <v>2.3E-3</v>
      </c>
      <c r="C58" s="30">
        <f t="shared" si="0"/>
        <v>2.8500000000000001E-3</v>
      </c>
      <c r="D58" s="30">
        <v>9.5999999999999992E-3</v>
      </c>
      <c r="E58" s="17">
        <f t="shared" si="1"/>
        <v>2.7812257257586724E-3</v>
      </c>
      <c r="F58" s="30">
        <v>4.9700000000000001E-2</v>
      </c>
      <c r="H58" s="24">
        <f>0.5878-0.5863</f>
        <v>1.4999999999999458E-3</v>
      </c>
      <c r="I58" s="22">
        <f>0.5903-0.5878</f>
        <v>2.5000000000000577E-3</v>
      </c>
      <c r="K58" s="39">
        <f t="shared" si="2"/>
        <v>2.3215821152193539</v>
      </c>
      <c r="L58" s="35">
        <f t="shared" si="7"/>
        <v>0.48597145746664649</v>
      </c>
      <c r="M58" s="36">
        <f t="shared" si="4"/>
        <v>4859.7145746664646</v>
      </c>
      <c r="N58" s="34">
        <f t="shared" si="8"/>
        <v>2.7195030094583865</v>
      </c>
      <c r="P58" s="34"/>
      <c r="Q58" s="35"/>
      <c r="R58" s="36"/>
      <c r="T58" s="22">
        <v>92.06</v>
      </c>
      <c r="U58" s="22">
        <f t="shared" si="6"/>
        <v>7.9399999999999977</v>
      </c>
      <c r="W58" s="35"/>
      <c r="AB58" s="34"/>
    </row>
    <row r="59" spans="1:28">
      <c r="A59" s="29" t="s">
        <v>57</v>
      </c>
      <c r="B59" s="30">
        <v>3.5000000000000001E-3</v>
      </c>
      <c r="C59" s="30">
        <f t="shared" si="0"/>
        <v>4.0499999999999998E-3</v>
      </c>
      <c r="D59" s="30">
        <v>5.7999999999999996E-3</v>
      </c>
      <c r="E59" s="17">
        <f t="shared" si="1"/>
        <v>1.6803238759791981E-3</v>
      </c>
      <c r="F59" s="30">
        <v>5.0799999999999998E-2</v>
      </c>
      <c r="H59" s="24">
        <f>0.5909-0.5885</f>
        <v>2.3999999999999577E-3</v>
      </c>
      <c r="I59" s="22">
        <f>0.5924-0.5909</f>
        <v>1.5000000000000568E-3</v>
      </c>
      <c r="K59" s="39">
        <f t="shared" si="2"/>
        <v>2.907488986784216</v>
      </c>
      <c r="L59" s="35">
        <f t="shared" si="7"/>
        <v>0.31876420077747519</v>
      </c>
      <c r="M59" s="36">
        <f t="shared" si="4"/>
        <v>3187.6420077747521</v>
      </c>
      <c r="N59" s="34">
        <f t="shared" si="8"/>
        <v>3.2761145374450047</v>
      </c>
      <c r="P59" s="34">
        <v>3.050868739897679</v>
      </c>
      <c r="Q59" s="35">
        <v>0.16009060018356561</v>
      </c>
      <c r="R59" s="36">
        <v>1600.9060018356561</v>
      </c>
      <c r="T59" s="22">
        <v>91.46</v>
      </c>
      <c r="U59" s="22">
        <f t="shared" si="6"/>
        <v>8.5400000000000063</v>
      </c>
      <c r="W59" s="35"/>
    </row>
    <row r="60" spans="1:28">
      <c r="A60" s="29" t="s">
        <v>58</v>
      </c>
      <c r="B60" s="30">
        <v>5.1000000000000004E-3</v>
      </c>
      <c r="C60" s="30">
        <f t="shared" si="0"/>
        <v>5.6500000000000005E-3</v>
      </c>
      <c r="D60" s="30">
        <v>0</v>
      </c>
      <c r="E60" s="17">
        <f t="shared" si="1"/>
        <v>0</v>
      </c>
      <c r="F60" s="30">
        <v>5.2299999999999999E-2</v>
      </c>
      <c r="H60" s="24">
        <v>3.3E-3</v>
      </c>
      <c r="I60" s="22">
        <v>0</v>
      </c>
      <c r="K60" s="39">
        <f t="shared" si="2"/>
        <v>4.3000914913083266</v>
      </c>
      <c r="L60" s="35">
        <f t="shared" si="7"/>
        <v>0</v>
      </c>
      <c r="M60" s="36">
        <f t="shared" si="4"/>
        <v>0</v>
      </c>
      <c r="N60" s="34">
        <f t="shared" si="8"/>
        <v>4.5990869167429107</v>
      </c>
      <c r="P60" s="34" t="s">
        <v>89</v>
      </c>
      <c r="Q60" s="35" t="s">
        <v>89</v>
      </c>
      <c r="R60" s="36"/>
      <c r="T60" s="22">
        <v>89.81</v>
      </c>
      <c r="U60" s="22">
        <f t="shared" si="6"/>
        <v>10.189999999999998</v>
      </c>
      <c r="W60" s="35"/>
    </row>
    <row r="61" spans="1:28">
      <c r="A61" s="29" t="s">
        <v>59</v>
      </c>
      <c r="B61" s="30">
        <v>2.3999999999999998E-3</v>
      </c>
      <c r="C61" s="30">
        <f t="shared" si="0"/>
        <v>2.9499999999999999E-3</v>
      </c>
      <c r="D61" s="30">
        <v>9.7000000000000003E-3</v>
      </c>
      <c r="E61" s="17">
        <f t="shared" si="1"/>
        <v>2.8101968270686588E-3</v>
      </c>
      <c r="F61" s="30">
        <v>5.21E-2</v>
      </c>
      <c r="H61" s="24">
        <f>0.6672-0.6661</f>
        <v>1.0999999999999899E-3</v>
      </c>
      <c r="I61" s="22">
        <f>0.6696-0.6672</f>
        <v>2.3999999999999577E-3</v>
      </c>
      <c r="K61" s="39">
        <f t="shared" si="2"/>
        <v>3.0204081632653197</v>
      </c>
      <c r="L61" s="35">
        <f t="shared" si="7"/>
        <v>0.6742244479370777</v>
      </c>
      <c r="M61" s="36">
        <f t="shared" si="4"/>
        <v>6742.2444793707773</v>
      </c>
      <c r="N61" s="34">
        <f t="shared" si="8"/>
        <v>3.3833877551020537</v>
      </c>
      <c r="T61" s="22">
        <v>94.04</v>
      </c>
      <c r="U61" s="22">
        <f t="shared" si="6"/>
        <v>5.9599999999999937</v>
      </c>
      <c r="W61" s="35"/>
    </row>
    <row r="62" spans="1:28">
      <c r="A62" s="29" t="s">
        <v>60</v>
      </c>
      <c r="B62" s="30">
        <v>3.7000000000000002E-3</v>
      </c>
      <c r="C62" s="30">
        <f t="shared" si="0"/>
        <v>4.2500000000000003E-3</v>
      </c>
      <c r="D62" s="30">
        <v>6.1000000000000004E-3</v>
      </c>
      <c r="E62" s="17">
        <f t="shared" si="1"/>
        <v>1.7672371799091569E-3</v>
      </c>
      <c r="F62" s="30">
        <v>5.1200000000000002E-2</v>
      </c>
      <c r="H62" s="24">
        <f>0.6688-0.6664</f>
        <v>2.3999999999999577E-3</v>
      </c>
      <c r="I62" s="22">
        <f>0.6703-0.6688</f>
        <v>1.5000000000000568E-3</v>
      </c>
      <c r="K62" s="39">
        <f t="shared" si="2"/>
        <v>3.2090199479619135</v>
      </c>
      <c r="L62" s="35">
        <f t="shared" si="7"/>
        <v>0.4657098521849749</v>
      </c>
      <c r="M62" s="36">
        <f t="shared" si="4"/>
        <v>4657.098521849749</v>
      </c>
      <c r="N62" s="34">
        <f t="shared" si="8"/>
        <v>3.5625689505638176</v>
      </c>
      <c r="W62" s="35"/>
    </row>
    <row r="63" spans="1:28">
      <c r="A63" s="29" t="s">
        <v>61</v>
      </c>
      <c r="B63" s="30">
        <v>5.1000000000000004E-3</v>
      </c>
      <c r="C63" s="30">
        <f t="shared" si="0"/>
        <v>5.6500000000000005E-3</v>
      </c>
      <c r="D63" s="30">
        <v>0</v>
      </c>
      <c r="E63" s="17">
        <f t="shared" si="1"/>
        <v>0</v>
      </c>
      <c r="F63" s="30">
        <v>5.0299999999999997E-2</v>
      </c>
      <c r="H63" s="24">
        <f>0.5847-0.581</f>
        <v>3.7000000000000366E-3</v>
      </c>
      <c r="I63" s="22">
        <f>0.5847-0.5847</f>
        <v>0</v>
      </c>
      <c r="K63" s="39">
        <f t="shared" si="2"/>
        <v>3.7320574162678763</v>
      </c>
      <c r="L63" s="35">
        <f t="shared" si="7"/>
        <v>0</v>
      </c>
      <c r="M63" s="36">
        <f t="shared" si="4"/>
        <v>0</v>
      </c>
      <c r="N63" s="34">
        <f t="shared" si="8"/>
        <v>4.0594545454544821</v>
      </c>
      <c r="W63" s="35"/>
    </row>
    <row r="64" spans="1:28">
      <c r="W64" s="35"/>
    </row>
    <row r="65" spans="1:23">
      <c r="W65" s="35"/>
    </row>
    <row r="80" spans="1:23">
      <c r="A80" s="32"/>
    </row>
    <row r="81" spans="1:1">
      <c r="A81" s="32"/>
    </row>
    <row r="82" spans="1:1">
      <c r="A82" s="32"/>
    </row>
    <row r="83" spans="1:1">
      <c r="A83" s="32"/>
    </row>
  </sheetData>
  <mergeCells count="5">
    <mergeCell ref="B1:F1"/>
    <mergeCell ref="H1:I1"/>
    <mergeCell ref="P1:R1"/>
    <mergeCell ref="T1:U1"/>
    <mergeCell ref="K1:N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6</vt:i4>
      </vt:variant>
    </vt:vector>
  </HeadingPairs>
  <TitlesOfParts>
    <vt:vector size="8" baseType="lpstr">
      <vt:lpstr>Fluid Compsotions</vt:lpstr>
      <vt:lpstr>Dissolved Volatiles</vt:lpstr>
      <vt:lpstr>H2O fluid</vt:lpstr>
      <vt:lpstr>CO2 fluid</vt:lpstr>
      <vt:lpstr>XH2O fluid</vt:lpstr>
      <vt:lpstr>XCO2 fluid</vt:lpstr>
      <vt:lpstr>Dissolved H2O Mass Balance</vt:lpstr>
      <vt:lpstr>Dissolved H2O By Difference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</dc:creator>
  <cp:lastModifiedBy>Nathalie Pothier</cp:lastModifiedBy>
  <dcterms:created xsi:type="dcterms:W3CDTF">2015-06-23T21:37:44Z</dcterms:created>
  <dcterms:modified xsi:type="dcterms:W3CDTF">2017-05-19T12:58:30Z</dcterms:modified>
</cp:coreProperties>
</file>